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ys\Desktop\MEMORIA\MARLYS CANTILLO\2021\VIGILANCIA 2021-2022\ESTUDIO DE MERCADO\"/>
    </mc:Choice>
  </mc:AlternateContent>
  <xr:revisionPtr revIDLastSave="0" documentId="8_{0351D086-BCDC-471C-B5F0-2A3AA052B775}" xr6:coauthVersionLast="47" xr6:coauthVersionMax="47" xr10:uidLastSave="{00000000-0000-0000-0000-000000000000}"/>
  <bookViews>
    <workbookView xWindow="-120" yWindow="-120" windowWidth="29040" windowHeight="15840" firstSheet="1" activeTab="1" xr2:uid="{2333416D-328C-4A82-A7D1-0BAB71071960}"/>
  </bookViews>
  <sheets>
    <sheet name="COAUTONOMA" sheetId="4" state="hidden" r:id="rId1"/>
    <sheet name="ESTUDIO" sheetId="1" r:id="rId2"/>
    <sheet name="ATLAS" sheetId="3" state="hidden" r:id="rId3"/>
    <sheet name="SMLVM 2021" sheetId="2" state="hidden" r:id="rId4"/>
  </sheets>
  <externalReferences>
    <externalReference r:id="rId5"/>
    <externalReference r:id="rId6"/>
    <externalReference r:id="rId7"/>
  </externalReferences>
  <definedNames>
    <definedName name="_xlnm._FilterDatabase" localSheetId="3" hidden="1">'SMLVM 2021'!$A$2:$U$25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5" i="1"/>
  <c r="H5" i="1"/>
  <c r="D3" i="4"/>
  <c r="E3" i="4" s="1"/>
  <c r="D4" i="4"/>
  <c r="H6" i="1" s="1"/>
  <c r="E5" i="4"/>
  <c r="F5" i="4"/>
  <c r="G5" i="4" s="1"/>
  <c r="I5" i="4" s="1"/>
  <c r="D6" i="4"/>
  <c r="E6" i="4"/>
  <c r="I8" i="1" s="1"/>
  <c r="H7" i="4"/>
  <c r="N5" i="1"/>
  <c r="O5" i="1" s="1"/>
  <c r="N7" i="1"/>
  <c r="N6" i="1"/>
  <c r="J7" i="1"/>
  <c r="D6" i="1"/>
  <c r="E6" i="1" s="1"/>
  <c r="F6" i="1" s="1"/>
  <c r="D7" i="1"/>
  <c r="E7" i="1" s="1"/>
  <c r="F7" i="1" s="1"/>
  <c r="D8" i="1"/>
  <c r="E8" i="1" s="1"/>
  <c r="D5" i="1"/>
  <c r="E5" i="1" s="1"/>
  <c r="F5" i="1" s="1"/>
  <c r="D3" i="3"/>
  <c r="E3" i="3" s="1"/>
  <c r="D4" i="3"/>
  <c r="E4" i="3" s="1"/>
  <c r="F4" i="3" s="1"/>
  <c r="G4" i="3" s="1"/>
  <c r="I4" i="3" s="1"/>
  <c r="D5" i="3"/>
  <c r="E5" i="3"/>
  <c r="F5" i="3" s="1"/>
  <c r="G5" i="3" s="1"/>
  <c r="I5" i="3" s="1"/>
  <c r="D6" i="3"/>
  <c r="E6" i="3" s="1"/>
  <c r="D7" i="3"/>
  <c r="H7" i="3"/>
  <c r="D7" i="4" l="1"/>
  <c r="G6" i="4"/>
  <c r="I6" i="4" s="1"/>
  <c r="J5" i="1"/>
  <c r="E4" i="4"/>
  <c r="F3" i="4"/>
  <c r="E7" i="3"/>
  <c r="F3" i="3"/>
  <c r="G6" i="3"/>
  <c r="I6" i="3" s="1"/>
  <c r="O8" i="1"/>
  <c r="K8" i="1"/>
  <c r="G8" i="1"/>
  <c r="M24" i="2"/>
  <c r="M30" i="2" s="1"/>
  <c r="B21" i="2"/>
  <c r="A21" i="2"/>
  <c r="B20" i="2"/>
  <c r="A20" i="2"/>
  <c r="M10" i="2"/>
  <c r="M9" i="2"/>
  <c r="M8" i="2"/>
  <c r="C5" i="2"/>
  <c r="B5" i="2"/>
  <c r="B22" i="2" s="1"/>
  <c r="A5" i="2"/>
  <c r="F4" i="4" l="1"/>
  <c r="G4" i="4" s="1"/>
  <c r="I4" i="4" s="1"/>
  <c r="I6" i="1"/>
  <c r="J6" i="1" s="1"/>
  <c r="E7" i="4"/>
  <c r="F7" i="4"/>
  <c r="G3" i="4"/>
  <c r="F7" i="3"/>
  <c r="G3" i="3"/>
  <c r="I3" i="3" s="1"/>
  <c r="M11" i="2"/>
  <c r="N30" i="2"/>
  <c r="O30" i="2" s="1"/>
  <c r="N8" i="2"/>
  <c r="D6" i="2" s="1"/>
  <c r="N9" i="2"/>
  <c r="O9" i="2" s="1"/>
  <c r="P9" i="2" s="1"/>
  <c r="N10" i="2"/>
  <c r="N11" i="2" s="1"/>
  <c r="D8" i="2" s="1"/>
  <c r="M28" i="2"/>
  <c r="M29" i="2"/>
  <c r="M31" i="2" l="1"/>
  <c r="I3" i="4"/>
  <c r="I7" i="4" s="1"/>
  <c r="G7" i="4"/>
  <c r="I7" i="3"/>
  <c r="G7" i="3"/>
  <c r="E8" i="2"/>
  <c r="F8" i="2" s="1"/>
  <c r="G8" i="2" s="1"/>
  <c r="D10" i="2"/>
  <c r="N29" i="2"/>
  <c r="O29" i="2" s="1"/>
  <c r="O31" i="2" s="1"/>
  <c r="O36" i="2"/>
  <c r="O37" i="2" s="1"/>
  <c r="O38" i="2" s="1"/>
  <c r="O42" i="2"/>
  <c r="D5" i="2"/>
  <c r="O8" i="2"/>
  <c r="D7" i="2"/>
  <c r="N28" i="2"/>
  <c r="O33" i="2"/>
  <c r="O34" i="2" s="1"/>
  <c r="O35" i="2" s="1"/>
  <c r="D11" i="2"/>
  <c r="E6" i="2"/>
  <c r="F6" i="2" s="1"/>
  <c r="G6" i="2" s="1"/>
  <c r="D9" i="2"/>
  <c r="O10" i="2"/>
  <c r="O11" i="2" s="1"/>
  <c r="P30" i="2"/>
  <c r="P8" i="2"/>
  <c r="D3" i="2" l="1"/>
  <c r="E3" i="2" s="1"/>
  <c r="F3" i="2" s="1"/>
  <c r="G3" i="2" s="1"/>
  <c r="P10" i="2"/>
  <c r="P11" i="2" s="1"/>
  <c r="O28" i="2"/>
  <c r="P28" i="2" s="1"/>
  <c r="E5" i="2"/>
  <c r="F5" i="2" s="1"/>
  <c r="G5" i="2" s="1"/>
  <c r="O43" i="2"/>
  <c r="O44" i="2" s="1"/>
  <c r="O45" i="2" s="1"/>
  <c r="E7" i="2"/>
  <c r="F7" i="2" s="1"/>
  <c r="G7" i="2" s="1"/>
  <c r="P29" i="2"/>
  <c r="E10" i="2"/>
  <c r="F10" i="2" s="1"/>
  <c r="G10" i="2" s="1"/>
  <c r="E9" i="2"/>
  <c r="F9" i="2" s="1"/>
  <c r="G9" i="2" s="1"/>
  <c r="N31" i="2"/>
  <c r="P31" i="2" s="1"/>
  <c r="D4" i="2"/>
  <c r="D12" i="2"/>
  <c r="E11" i="2"/>
  <c r="F11" i="2" s="1"/>
  <c r="G11" i="2" s="1"/>
  <c r="D13" i="2" l="1"/>
  <c r="G12" i="2"/>
  <c r="E12" i="2"/>
  <c r="F12" i="2" s="1"/>
  <c r="E4" i="2"/>
  <c r="F4" i="2" s="1"/>
  <c r="G4" i="2" s="1"/>
  <c r="D14" i="2" l="1"/>
  <c r="E13" i="2"/>
  <c r="F13" i="2" s="1"/>
  <c r="G13" i="2" s="1"/>
  <c r="D15" i="2" l="1"/>
  <c r="G14" i="2"/>
  <c r="E14" i="2"/>
  <c r="F14" i="2" s="1"/>
  <c r="D16" i="2" l="1"/>
  <c r="E15" i="2"/>
  <c r="F15" i="2" l="1"/>
  <c r="D17" i="2"/>
  <c r="E16" i="2"/>
  <c r="F16" i="2" s="1"/>
  <c r="G16" i="2" s="1"/>
  <c r="D18" i="2" l="1"/>
  <c r="G17" i="2"/>
  <c r="E17" i="2"/>
  <c r="F17" i="2" s="1"/>
  <c r="G15" i="2"/>
  <c r="D19" i="2" l="1"/>
  <c r="E18" i="2"/>
  <c r="F18" i="2" l="1"/>
  <c r="D20" i="2"/>
  <c r="E19" i="2"/>
  <c r="F19" i="2" s="1"/>
  <c r="G19" i="2" s="1"/>
  <c r="G20" i="2" l="1"/>
  <c r="D21" i="2"/>
  <c r="D22" i="2" s="1"/>
  <c r="E20" i="2"/>
  <c r="F22" i="2"/>
  <c r="G18" i="2"/>
  <c r="E21" i="2" l="1"/>
  <c r="E22" i="2" s="1"/>
  <c r="G21" i="2"/>
  <c r="G22" i="2" s="1"/>
  <c r="G6" i="1" l="1"/>
  <c r="K6" i="1"/>
  <c r="O6" i="1"/>
  <c r="G7" i="1"/>
  <c r="K7" i="1"/>
  <c r="O7" i="1"/>
  <c r="E14" i="1"/>
  <c r="E15" i="1"/>
  <c r="E16" i="1"/>
  <c r="E18" i="1" s="1"/>
  <c r="E17" i="1"/>
  <c r="J18" i="1"/>
  <c r="H9" i="1" l="1"/>
  <c r="L9" i="1"/>
  <c r="P6" i="1"/>
  <c r="D15" i="1" s="1"/>
  <c r="I15" i="1" s="1"/>
  <c r="P7" i="1"/>
  <c r="D16" i="1" s="1"/>
  <c r="I16" i="1" s="1"/>
  <c r="M9" i="1"/>
  <c r="I9" i="1"/>
  <c r="K5" i="1"/>
  <c r="G5" i="1"/>
  <c r="P5" i="1" s="1"/>
  <c r="E9" i="1"/>
  <c r="D9" i="1"/>
  <c r="P8" i="1"/>
  <c r="D17" i="1" s="1"/>
  <c r="I17" i="1" s="1"/>
  <c r="G15" i="1" l="1"/>
  <c r="L15" i="1"/>
  <c r="F9" i="1"/>
  <c r="G17" i="1"/>
  <c r="L17" i="1"/>
  <c r="K9" i="1"/>
  <c r="J9" i="1"/>
  <c r="O9" i="1"/>
  <c r="N9" i="1"/>
  <c r="G16" i="1"/>
  <c r="L16" i="1"/>
  <c r="M15" i="1" l="1"/>
  <c r="M17" i="1"/>
  <c r="M16" i="1"/>
  <c r="G9" i="1"/>
  <c r="P9" i="1" l="1"/>
  <c r="D14" i="1"/>
  <c r="I14" i="1" s="1"/>
  <c r="L14" i="1" s="1"/>
  <c r="G14" i="1" l="1"/>
  <c r="M14" i="1" s="1"/>
  <c r="D18" i="1"/>
  <c r="I18" i="1" l="1"/>
  <c r="L18" i="1"/>
  <c r="G18" i="1"/>
  <c r="M18" i="1" l="1"/>
</calcChain>
</file>

<file path=xl/sharedStrings.xml><?xml version="1.0" encoding="utf-8"?>
<sst xmlns="http://schemas.openxmlformats.org/spreadsheetml/2006/main" count="178" uniqueCount="82">
  <si>
    <t>TOTALES</t>
  </si>
  <si>
    <t>Servicio de vigilancia física con medio humano, con arma, sin canino, con jornada labora mes /24 horas</t>
  </si>
  <si>
    <t>SAN ANDRES ISLAS</t>
  </si>
  <si>
    <t>D</t>
  </si>
  <si>
    <t>CARTAGENA Y MUNICIPIOS DE BOLIVAR</t>
  </si>
  <si>
    <t>C</t>
  </si>
  <si>
    <t>Servicio de vigilancia física con medio humano, sin arma, sin canino, con jornada de 12 horas (7:00 a.m. a  7:00 p.m.) de lunes a viernes laborales. Y jornada de 6 horas (7:00 am a 1:00 pm) los sábados</t>
  </si>
  <si>
    <t>B</t>
  </si>
  <si>
    <t>Servicio de vigilancia física con medio humano, sin arma, sin canino, con jornada de 12 horas (7:00 a.m. a  7:00 p.m.) de lunes a viernes laborales.</t>
  </si>
  <si>
    <t>A</t>
  </si>
  <si>
    <t>TIPO SERVICIO</t>
  </si>
  <si>
    <t>UBICACION DEL SERVICIO</t>
  </si>
  <si>
    <t>TIPO DE SERVICIOS</t>
  </si>
  <si>
    <t>VALOR TOTAL UNITARIO PROMEDIO</t>
  </si>
  <si>
    <t>IVA</t>
  </si>
  <si>
    <t>PRECIO PROMEDIO</t>
  </si>
  <si>
    <t>ESTUDIO DE MERCADO SERVICIO DE VIGILANCIA PRIVADA DIRECCION SECCIONAL DE ADMINISTRACION JUDICIAL CARTAGENA VIGENCIA 2021 Y 2022</t>
  </si>
  <si>
    <t xml:space="preserve">SEDE JUDICIAL </t>
  </si>
  <si>
    <t xml:space="preserve">No. SERVICIOS </t>
  </si>
  <si>
    <t>DESCRIPCIÓN</t>
  </si>
  <si>
    <t xml:space="preserve">VALOR SERVICIO UNITARIO INCLUIDO AIU </t>
  </si>
  <si>
    <t>AIU</t>
  </si>
  <si>
    <t>TOTAL CON IVA</t>
  </si>
  <si>
    <t xml:space="preserve">Salario Minimo </t>
  </si>
  <si>
    <t xml:space="preserve">EDIFICIO NACIONAL (CARTAGENA) en el parqueadero   </t>
  </si>
  <si>
    <t xml:space="preserve"> </t>
  </si>
  <si>
    <t>Dias Mes</t>
  </si>
  <si>
    <t xml:space="preserve">EDIFICIO NACIONAL (CARTAGENA) en el interior del Edificio </t>
  </si>
  <si>
    <t>No. Sabados mes</t>
  </si>
  <si>
    <t>SEDE DESPACHOS ESPECIALIDAD LABORAL,Ubicado en el barrio alcibia,calle 31 Nª39-206-avenida pedro de heredia</t>
  </si>
  <si>
    <t>EDIFICIO CALAMARI (CARTAGENA ) en la porteria principal</t>
  </si>
  <si>
    <t>SERVICIO</t>
  </si>
  <si>
    <t>VALOR</t>
  </si>
  <si>
    <t>A y S</t>
  </si>
  <si>
    <t>IVA 19%</t>
  </si>
  <si>
    <t>TOTAL</t>
  </si>
  <si>
    <t>EDIFICIO BANCO DEL ESTADO (CARTAGENA) en la porteria principal</t>
  </si>
  <si>
    <t>SERVICIO 24 HORAS</t>
  </si>
  <si>
    <t>EDIFICIO CALLE DE LA MONEDA (CARTAGENA) en la portería principal</t>
  </si>
  <si>
    <t>SERVICIOS 12 HORAS DIURNAS LUNES A VIERNES SIN INCLUIR FESTIVOS</t>
  </si>
  <si>
    <t>EDIFICIO ANTIGUO TELECARTAGENA (CARTAGENA) en la porteria principal</t>
  </si>
  <si>
    <t>SERVICIOS 6 HORAS DIURNAS LOS SABADOS</t>
  </si>
  <si>
    <t>EDIFICIO CUARTEL DEL FIJO (CARTAGENA) en la porteria principal</t>
  </si>
  <si>
    <t>SERVICIOS 12 HORAS DIURNAS LUNES A VIERNES SIN INCLUIR FESTIVOS INCLUIDO 6 HORAS LOS SABADOS</t>
  </si>
  <si>
    <t>EDIFICIO NACIONAL (CARTAGENA) en la porteria principal</t>
  </si>
  <si>
    <t>EDIFICIO ALMIRANTE (CARTAGENA) en la porteria principal</t>
  </si>
  <si>
    <t xml:space="preserve">NUEVA SEDE
DESPACHOS
PENALES
(CARTAGENA) en la
portería principal
</t>
  </si>
  <si>
    <t>PALACIO DE JUSTICIA MOMPOS (MOMPOS) en la porteria principal</t>
  </si>
  <si>
    <t>PALACIO DE JUSTICIA DE SIMITI (SIMITI) en la porteria principal</t>
  </si>
  <si>
    <t>PALACIO DE JUSTICIA DE EL CARMEN DE BOLIVAR (EL CARMEN DE BOLIVAR) en la porteria principal</t>
  </si>
  <si>
    <t>EDIFICIO MEREB ARANA (MAGANGUE) en la porteria principal</t>
  </si>
  <si>
    <t xml:space="preserve">DESPACHOS JUDICIALES DE TURBACO (TURBACO) en la porteria principal </t>
  </si>
  <si>
    <t xml:space="preserve">TOTAL </t>
  </si>
  <si>
    <t>Salario Minimo</t>
  </si>
  <si>
    <t>DIAS</t>
  </si>
  <si>
    <t>No. Sabados</t>
  </si>
  <si>
    <t>SEGURIDAD ATLAS LTDA</t>
  </si>
  <si>
    <t>VALOR UNITARIO SERVICIO MENSUAL AÑO 2021</t>
  </si>
  <si>
    <t>NUMERO DE SERVICIOS VIGENCIA 2021</t>
  </si>
  <si>
    <t>NUMERO DE MESES VIGENCIA 2021</t>
  </si>
  <si>
    <t>VALOR TOTAL VIGENCIA 2021</t>
  </si>
  <si>
    <t>% INCREMENTO VIGENCIA 2022</t>
  </si>
  <si>
    <t>VALOR UNITARIO SERVICIO MENSUAL AÑO 2022</t>
  </si>
  <si>
    <t>NUMERO DE SERVICIOS VIGENCIA 2022</t>
  </si>
  <si>
    <t>NUMERO DE MESES VIGENCIA 2022</t>
  </si>
  <si>
    <t>VALOR TOTAL VIGENCIA 2022</t>
  </si>
  <si>
    <t>N/A</t>
  </si>
  <si>
    <t>VALOR TOTAL MENSUAL VIGENCIA 2021</t>
  </si>
  <si>
    <t>NUMERO DE SERVICIOS</t>
  </si>
  <si>
    <t>VALOR UNITARIO MENSUAL POR SERVICIO VIGENCIA 2021 INCLUIDO AYS E IVA</t>
  </si>
  <si>
    <t>Valor AYS Unitario</t>
  </si>
  <si>
    <t>VALOR UNITARIO MENSUAL POR SERVICIO VIGENCIA 2021 ANTES DE AYS E IVA</t>
  </si>
  <si>
    <t>COTIZACION SERVICIO DE VIGILANCIA PRIVADA DIRECCION SECCIONAL DE ADMINISTRACION JUDICIAL CARTAGENA VIGENCIA 2021</t>
  </si>
  <si>
    <t>VALOR SERVICIO ANTES DE AYS E IVA</t>
  </si>
  <si>
    <t>Valor A Y S Unitario</t>
  </si>
  <si>
    <t>VALOR UNITARIO MENSUAL POR SERVICIO VIGENCIA 2021</t>
  </si>
  <si>
    <t>VIGENCIA 2021</t>
  </si>
  <si>
    <t>VIGENCIA 2022</t>
  </si>
  <si>
    <t>VALOR TOTAL VIGENCIAS 2021 Y 2022</t>
  </si>
  <si>
    <t>COAUTONOMA CTA.</t>
  </si>
  <si>
    <t>TARIFA MENSUAL SERVICIO DE VIGILANCIA CIRCULAR EXTERNA Nº 20201300000455 DE FECHA 31 DE DICIEMBRE DE 2020</t>
  </si>
  <si>
    <t>TARIFA MENSUAL CIRCULAR EXTERNA Nº 20201300000455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</si>
</sst>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-* #,##0\ &quot;$&quot;_-;\-* #,##0\ &quot;$&quot;_-;_-* &quot;-&quot;??\ &quot;$&quot;_-;_-@_-"/>
    <numFmt numFmtId="165" formatCode="_-&quot;$&quot;* #,##0.00_-;\-&quot;$&quot;* #,##0.00_-;_-&quot;$&quot;* &quot;-&quot;??_-;_-@_-"/>
    <numFmt numFmtId="166" formatCode="#,##0_ ;\-#,##0\ "/>
    <numFmt numFmtId="167" formatCode="0.0%"/>
    <numFmt numFmtId="168" formatCode="_(* #,##0.00_);_(* \(#,##0.00\);_(* &quot;-&quot;??_);_(@_)"/>
    <numFmt numFmtId="169" formatCode="_-* #,##0_-;\-* #,##0_-;_-* &quot;-&quot;??_-;_-@_-"/>
    <numFmt numFmtId="170" formatCode="_(* #,##0_);_(* \(#,##0\);_(* &quot;-&quot;??_);_(@_)"/>
    <numFmt numFmtId="171" formatCode="_(&quot;$&quot;\ * #,##0_);_(&quot;$&quot;\ * \(#,##0\);_(&quot;$&quot;\ * &quot;-&quot;??_);_(@_)"/>
    <numFmt numFmtId="172" formatCode="0.0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66" fontId="0" fillId="0" borderId="1" xfId="2" applyNumberFormat="1" applyFont="1" applyBorder="1"/>
    <xf numFmtId="166" fontId="2" fillId="0" borderId="1" xfId="0" applyNumberFormat="1" applyFont="1" applyBorder="1"/>
    <xf numFmtId="166" fontId="2" fillId="0" borderId="1" xfId="2" applyNumberFormat="1" applyFont="1" applyBorder="1"/>
    <xf numFmtId="9" fontId="2" fillId="0" borderId="1" xfId="1" applyFont="1" applyBorder="1"/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0" fillId="0" borderId="0" xfId="2" applyNumberFormat="1" applyFont="1" applyBorder="1"/>
    <xf numFmtId="0" fontId="3" fillId="0" borderId="0" xfId="3" applyFont="1" applyAlignment="1">
      <alignment horizontal="center" vertical="center" wrapText="1"/>
    </xf>
    <xf numFmtId="0" fontId="4" fillId="0" borderId="4" xfId="3" applyFont="1" applyBorder="1" applyAlignment="1">
      <alignment vertical="center" wrapText="1"/>
    </xf>
    <xf numFmtId="9" fontId="5" fillId="0" borderId="6" xfId="1" applyFont="1" applyBorder="1" applyAlignment="1">
      <alignment horizontal="center" wrapText="1"/>
    </xf>
    <xf numFmtId="0" fontId="6" fillId="0" borderId="0" xfId="0" applyFont="1"/>
    <xf numFmtId="0" fontId="7" fillId="0" borderId="5" xfId="0" applyFont="1" applyBorder="1" applyAlignment="1">
      <alignment horizontal="center" vertical="center" wrapText="1"/>
    </xf>
    <xf numFmtId="0" fontId="9" fillId="0" borderId="0" xfId="3" applyFont="1"/>
    <xf numFmtId="0" fontId="1" fillId="0" borderId="0" xfId="3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167" fontId="2" fillId="0" borderId="1" xfId="3" applyNumberFormat="1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/>
    </xf>
    <xf numFmtId="0" fontId="9" fillId="3" borderId="0" xfId="3" applyFont="1" applyFill="1"/>
    <xf numFmtId="169" fontId="9" fillId="3" borderId="0" xfId="5" applyNumberFormat="1" applyFont="1" applyFill="1" applyBorder="1"/>
    <xf numFmtId="0" fontId="11" fillId="0" borderId="1" xfId="3" applyFont="1" applyBorder="1" applyAlignment="1">
      <alignment vertical="center" wrapText="1"/>
    </xf>
    <xf numFmtId="0" fontId="1" fillId="0" borderId="1" xfId="3" applyBorder="1" applyAlignment="1">
      <alignment horizontal="center" vertical="center"/>
    </xf>
    <xf numFmtId="170" fontId="1" fillId="0" borderId="1" xfId="5" applyNumberFormat="1" applyFont="1" applyFill="1" applyBorder="1" applyAlignment="1">
      <alignment vertical="center"/>
    </xf>
    <xf numFmtId="169" fontId="1" fillId="0" borderId="1" xfId="5" applyNumberFormat="1" applyFont="1" applyFill="1" applyBorder="1" applyAlignment="1">
      <alignment vertical="center"/>
    </xf>
    <xf numFmtId="169" fontId="9" fillId="0" borderId="7" xfId="3" applyNumberFormat="1" applyFont="1" applyBorder="1" applyAlignment="1">
      <alignment horizontal="center"/>
    </xf>
    <xf numFmtId="169" fontId="9" fillId="0" borderId="0" xfId="3" applyNumberFormat="1" applyFont="1" applyAlignment="1">
      <alignment horizontal="center"/>
    </xf>
    <xf numFmtId="170" fontId="1" fillId="0" borderId="1" xfId="5" applyNumberFormat="1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/>
    </xf>
    <xf numFmtId="171" fontId="9" fillId="0" borderId="0" xfId="3" applyNumberFormat="1" applyFont="1"/>
    <xf numFmtId="0" fontId="12" fillId="3" borderId="1" xfId="3" applyFont="1" applyFill="1" applyBorder="1" applyAlignment="1">
      <alignment vertical="center"/>
    </xf>
    <xf numFmtId="171" fontId="9" fillId="3" borderId="1" xfId="3" applyNumberFormat="1" applyFont="1" applyFill="1" applyBorder="1"/>
    <xf numFmtId="171" fontId="10" fillId="3" borderId="1" xfId="3" applyNumberFormat="1" applyFont="1" applyFill="1" applyBorder="1"/>
    <xf numFmtId="0" fontId="12" fillId="3" borderId="1" xfId="3" applyFont="1" applyFill="1" applyBorder="1" applyAlignment="1">
      <alignment vertical="center" wrapText="1"/>
    </xf>
    <xf numFmtId="172" fontId="9" fillId="0" borderId="0" xfId="3" applyNumberFormat="1" applyFont="1"/>
    <xf numFmtId="170" fontId="9" fillId="0" borderId="0" xfId="5" applyNumberFormat="1" applyFont="1" applyFill="1" applyAlignment="1"/>
    <xf numFmtId="0" fontId="11" fillId="0" borderId="1" xfId="3" applyFont="1" applyBorder="1" applyAlignment="1">
      <alignment horizontal="center" vertical="center" wrapText="1"/>
    </xf>
    <xf numFmtId="0" fontId="1" fillId="0" borderId="1" xfId="3" applyBorder="1"/>
    <xf numFmtId="169" fontId="1" fillId="0" borderId="1" xfId="3" applyNumberFormat="1" applyBorder="1"/>
    <xf numFmtId="169" fontId="9" fillId="0" borderId="0" xfId="3" applyNumberFormat="1" applyFont="1"/>
    <xf numFmtId="0" fontId="1" fillId="0" borderId="0" xfId="3" applyAlignment="1">
      <alignment horizontal="center"/>
    </xf>
    <xf numFmtId="169" fontId="1" fillId="0" borderId="0" xfId="3" applyNumberFormat="1"/>
    <xf numFmtId="169" fontId="9" fillId="0" borderId="0" xfId="5" applyNumberFormat="1" applyFont="1" applyFill="1"/>
    <xf numFmtId="0" fontId="9" fillId="0" borderId="0" xfId="3" applyFont="1" applyAlignment="1">
      <alignment wrapText="1"/>
    </xf>
    <xf numFmtId="0" fontId="10" fillId="0" borderId="8" xfId="3" applyFont="1" applyBorder="1" applyAlignment="1">
      <alignment horizontal="center"/>
    </xf>
    <xf numFmtId="0" fontId="10" fillId="0" borderId="9" xfId="3" applyFont="1" applyBorder="1" applyAlignment="1">
      <alignment horizontal="center"/>
    </xf>
    <xf numFmtId="0" fontId="10" fillId="0" borderId="10" xfId="3" applyFont="1" applyBorder="1" applyAlignment="1">
      <alignment horizontal="center"/>
    </xf>
    <xf numFmtId="0" fontId="12" fillId="0" borderId="11" xfId="3" applyFont="1" applyBorder="1" applyAlignment="1">
      <alignment vertical="center"/>
    </xf>
    <xf numFmtId="171" fontId="9" fillId="0" borderId="5" xfId="3" applyNumberFormat="1" applyFont="1" applyBorder="1"/>
    <xf numFmtId="171" fontId="9" fillId="0" borderId="5" xfId="5" applyNumberFormat="1" applyFont="1" applyFill="1" applyBorder="1"/>
    <xf numFmtId="171" fontId="10" fillId="0" borderId="12" xfId="3" applyNumberFormat="1" applyFont="1" applyBorder="1"/>
    <xf numFmtId="0" fontId="12" fillId="0" borderId="13" xfId="3" applyFont="1" applyBorder="1" applyAlignment="1">
      <alignment vertical="center" wrapText="1"/>
    </xf>
    <xf numFmtId="171" fontId="9" fillId="0" borderId="1" xfId="3" applyNumberFormat="1" applyFont="1" applyBorder="1"/>
    <xf numFmtId="171" fontId="10" fillId="0" borderId="14" xfId="3" applyNumberFormat="1" applyFont="1" applyBorder="1"/>
    <xf numFmtId="0" fontId="12" fillId="0" borderId="1" xfId="3" applyFont="1" applyBorder="1" applyAlignment="1">
      <alignment vertical="center" wrapText="1"/>
    </xf>
    <xf numFmtId="171" fontId="10" fillId="0" borderId="1" xfId="3" applyNumberFormat="1" applyFont="1" applyBorder="1"/>
    <xf numFmtId="10" fontId="0" fillId="0" borderId="1" xfId="1" applyNumberFormat="1" applyFont="1" applyBorder="1"/>
    <xf numFmtId="166" fontId="2" fillId="0" borderId="1" xfId="2" applyNumberFormat="1" applyFont="1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41" fontId="1" fillId="0" borderId="0" xfId="4" applyFont="1"/>
    <xf numFmtId="166" fontId="1" fillId="0" borderId="0" xfId="2" applyNumberFormat="1" applyFont="1" applyBorder="1"/>
    <xf numFmtId="166" fontId="2" fillId="0" borderId="7" xfId="2" applyNumberFormat="1" applyFont="1" applyFill="1" applyBorder="1" applyAlignment="1">
      <alignment horizontal="center" vertical="center"/>
    </xf>
    <xf numFmtId="166" fontId="2" fillId="0" borderId="1" xfId="2" applyNumberFormat="1" applyFont="1" applyBorder="1" applyAlignment="1">
      <alignment horizontal="center" vertical="center"/>
    </xf>
    <xf numFmtId="166" fontId="1" fillId="0" borderId="1" xfId="2" applyNumberFormat="1" applyFont="1" applyBorder="1" applyAlignment="1">
      <alignment horizontal="center" vertical="center"/>
    </xf>
    <xf numFmtId="166" fontId="14" fillId="0" borderId="1" xfId="2" applyNumberFormat="1" applyFont="1" applyBorder="1"/>
    <xf numFmtId="166" fontId="7" fillId="2" borderId="1" xfId="2" applyNumberFormat="1" applyFont="1" applyFill="1" applyBorder="1"/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9" fontId="5" fillId="0" borderId="6" xfId="1" applyFont="1" applyBorder="1" applyAlignment="1">
      <alignment horizontal="center" wrapText="1"/>
    </xf>
    <xf numFmtId="9" fontId="5" fillId="0" borderId="5" xfId="1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" fontId="13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</cellXfs>
  <cellStyles count="6">
    <cellStyle name="Millares [0]" xfId="4" builtinId="6"/>
    <cellStyle name="Millares 3 2 2" xfId="5" xr:uid="{C3947A94-1DD7-4D95-BA4D-E523B63757B3}"/>
    <cellStyle name="Moneda 3" xfId="2" xr:uid="{437B42B4-B084-42DF-A8CC-ACAD4ABEE4D0}"/>
    <cellStyle name="Normal" xfId="0" builtinId="0"/>
    <cellStyle name="Normal 11 2" xfId="3" xr:uid="{BB763926-CDA8-47FC-944C-AC8F1718555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MA%20JUDICIAL%202019\SERVICIO%20DE%20VIGILANCIA\ESTUDIO%20DE%20MERCADO%202019-2021%20SERVICIO%20DE%20VIGILA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MA%20JUDICIAL%202018\CONTRATO%20VIGILANCIA\ADICION%20CONTRATO%20DE%20VIGIALNCIA%202017-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MA%20JUDICIAL%202018\CALCULO%20equilibrio%20economico%20%202018-APARTIR%20DEL%2028%20DE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 VIGILANCIAOK (2)"/>
      <sheetName val="ESTUDIO"/>
      <sheetName val="DETALLE"/>
      <sheetName val="RESUMEN VIGILANCIAOK"/>
      <sheetName val="SEVICOL"/>
      <sheetName val="COVISUR"/>
      <sheetName val="AMCOVIT"/>
    </sheetNames>
    <sheetDataSet>
      <sheetData sheetId="0"/>
      <sheetData sheetId="1">
        <row r="3">
          <cell r="H3">
            <v>3</v>
          </cell>
        </row>
        <row r="4">
          <cell r="H4">
            <v>4</v>
          </cell>
        </row>
        <row r="5">
          <cell r="H5">
            <v>10</v>
          </cell>
        </row>
        <row r="6">
          <cell r="H6">
            <v>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OK (2)"/>
      <sheetName val="JUNIO 01-15"/>
      <sheetName val="JUNIO16-30"/>
      <sheetName val="RESUMENOK"/>
      <sheetName val="PROPUESTA CAMBIO APARTIR 22 FEB"/>
      <sheetName val="RESUMEN"/>
      <sheetName val="JULIO"/>
      <sheetName val="AGOSTO"/>
      <sheetName val="SEPTIEMBRE"/>
    </sheetNames>
    <sheetDataSet>
      <sheetData sheetId="0"/>
      <sheetData sheetId="1"/>
      <sheetData sheetId="2">
        <row r="5">
          <cell r="A5" t="str">
            <v>EDIFICIO  (CARTAGENA) NUEVOS JUZGADOS LABORALES</v>
          </cell>
          <cell r="B5">
            <v>1</v>
          </cell>
          <cell r="C5" t="str">
            <v>Servicio de vigilancia física con medio humano, sin arma, sin canino, con jornada de 12 horas (7:00 a.m. a  7:00 p.m.) de lunes a viernes laborales.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UESTA CAMBIO APARTIR 22 (2"/>
      <sheetName val="PROPUESTA CAMBIO APARTIR 22 FEB"/>
      <sheetName val="JUNIO"/>
      <sheetName val="MAYO"/>
      <sheetName val="ABRIL"/>
      <sheetName val="MARZO"/>
      <sheetName val="FEBRERO"/>
      <sheetName val="ENERO"/>
      <sheetName val="PROPUESTA ORIGINAL"/>
      <sheetName val="Hoja1"/>
      <sheetName val="DICIEMBRE "/>
      <sheetName val="Hoja2"/>
    </sheetNames>
    <sheetDataSet>
      <sheetData sheetId="0"/>
      <sheetData sheetId="1"/>
      <sheetData sheetId="2"/>
      <sheetData sheetId="3"/>
      <sheetData sheetId="4"/>
      <sheetData sheetId="5">
        <row r="22">
          <cell r="A22" t="str">
            <v>PALACIO DE JUSTICIA AV. Libertadores 2a -
106 Palacio de Justicia
SAN ANDRES</v>
          </cell>
          <cell r="B22">
            <v>1</v>
          </cell>
        </row>
        <row r="24">
          <cell r="A24" t="str">
            <v>EDIFICIO LEDA
AV. Providencia No. 1-
48 Ed. Leda
SAN ANDRES</v>
          </cell>
          <cell r="B24">
            <v>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490-7944-4057-B27A-95364D89A49E}">
  <dimension ref="A1:K9"/>
  <sheetViews>
    <sheetView zoomScale="70" zoomScaleNormal="70" workbookViewId="0">
      <selection activeCell="M3" sqref="M3"/>
    </sheetView>
  </sheetViews>
  <sheetFormatPr baseColWidth="10" defaultRowHeight="81.75" customHeight="1" x14ac:dyDescent="0.25"/>
  <cols>
    <col min="1" max="1" width="10.5703125" style="2" customWidth="1"/>
    <col min="2" max="2" width="12.42578125" customWidth="1"/>
    <col min="3" max="3" width="26.7109375" customWidth="1"/>
    <col min="4" max="4" width="14.85546875" customWidth="1"/>
    <col min="5" max="5" width="13.5703125" bestFit="1" customWidth="1"/>
    <col min="7" max="7" width="14.5703125" style="1" bestFit="1" customWidth="1"/>
    <col min="8" max="8" width="13.5703125" customWidth="1"/>
    <col min="9" max="9" width="17.140625" customWidth="1"/>
    <col min="10" max="10" width="13.42578125" customWidth="1"/>
  </cols>
  <sheetData>
    <row r="1" spans="1:11" ht="105.75" customHeight="1" x14ac:dyDescent="0.55000000000000004">
      <c r="A1" s="74" t="s">
        <v>72</v>
      </c>
      <c r="B1" s="75"/>
      <c r="C1" s="75"/>
      <c r="D1" s="75"/>
      <c r="E1" s="75"/>
      <c r="F1" s="75"/>
      <c r="G1" s="75"/>
      <c r="H1" s="75"/>
      <c r="I1" s="76"/>
    </row>
    <row r="2" spans="1:11" s="17" customFormat="1" ht="81.75" customHeight="1" x14ac:dyDescent="0.35">
      <c r="A2" s="11" t="s">
        <v>12</v>
      </c>
      <c r="B2" s="11" t="s">
        <v>11</v>
      </c>
      <c r="C2" s="11" t="s">
        <v>10</v>
      </c>
      <c r="D2" s="66" t="s">
        <v>71</v>
      </c>
      <c r="E2" s="16" t="s">
        <v>70</v>
      </c>
      <c r="F2" s="66" t="s">
        <v>14</v>
      </c>
      <c r="G2" s="65" t="s">
        <v>69</v>
      </c>
      <c r="H2" s="65" t="s">
        <v>68</v>
      </c>
      <c r="I2" s="65" t="s">
        <v>67</v>
      </c>
    </row>
    <row r="3" spans="1:11" ht="59.25" customHeight="1" x14ac:dyDescent="0.25">
      <c r="A3" s="9" t="s">
        <v>9</v>
      </c>
      <c r="B3" s="8" t="s">
        <v>4</v>
      </c>
      <c r="C3" s="15" t="s">
        <v>8</v>
      </c>
      <c r="D3" s="71">
        <f>+(3579854/30)*20</f>
        <v>2386569.333333333</v>
      </c>
      <c r="E3" s="71">
        <f>+D3*8%</f>
        <v>190925.54666666663</v>
      </c>
      <c r="F3" s="71">
        <f>+(((D3+E3)*10%)*19%)</f>
        <v>48972.402720000006</v>
      </c>
      <c r="G3" s="71">
        <f>ROUND((D3+F3+E3),0)</f>
        <v>2626467</v>
      </c>
      <c r="H3" s="71">
        <v>3</v>
      </c>
      <c r="I3" s="71">
        <f>+G3*H3</f>
        <v>7879401</v>
      </c>
    </row>
    <row r="4" spans="1:11" ht="72" customHeight="1" x14ac:dyDescent="0.25">
      <c r="A4" s="9" t="s">
        <v>7</v>
      </c>
      <c r="B4" s="8" t="s">
        <v>4</v>
      </c>
      <c r="C4" s="15" t="s">
        <v>6</v>
      </c>
      <c r="D4" s="71">
        <f>+D3+238657</f>
        <v>2625226.333333333</v>
      </c>
      <c r="E4" s="71">
        <f>+D4*8%</f>
        <v>210018.10666666666</v>
      </c>
      <c r="F4" s="71">
        <f>+(((D4+E4)*10%)*19%)</f>
        <v>53869.644359999991</v>
      </c>
      <c r="G4" s="71">
        <f>ROUND((D4+F4+E4),0)</f>
        <v>2889114</v>
      </c>
      <c r="H4" s="71">
        <v>4</v>
      </c>
      <c r="I4" s="71">
        <f>+G4*H4</f>
        <v>11556456</v>
      </c>
    </row>
    <row r="5" spans="1:11" ht="43.5" customHeight="1" x14ac:dyDescent="0.25">
      <c r="A5" s="9" t="s">
        <v>5</v>
      </c>
      <c r="B5" s="8" t="s">
        <v>4</v>
      </c>
      <c r="C5" s="15" t="s">
        <v>1</v>
      </c>
      <c r="D5" s="71">
        <v>7995029</v>
      </c>
      <c r="E5" s="71">
        <f>+D5*10%</f>
        <v>799502.9</v>
      </c>
      <c r="F5" s="71">
        <f>+(((D5+E5)*10%)*19%)</f>
        <v>167096.1061</v>
      </c>
      <c r="G5" s="71">
        <f>ROUND((D5+F5+E5),0)</f>
        <v>8961628</v>
      </c>
      <c r="H5" s="71">
        <v>10</v>
      </c>
      <c r="I5" s="71">
        <f>+G5*H5</f>
        <v>89616280</v>
      </c>
    </row>
    <row r="6" spans="1:11" ht="54" customHeight="1" x14ac:dyDescent="0.25">
      <c r="A6" s="9" t="s">
        <v>3</v>
      </c>
      <c r="B6" s="8" t="s">
        <v>2</v>
      </c>
      <c r="C6" s="15" t="s">
        <v>1</v>
      </c>
      <c r="D6" s="71">
        <f>+D5</f>
        <v>7995029</v>
      </c>
      <c r="E6" s="71">
        <f>+D6*10%</f>
        <v>799502.9</v>
      </c>
      <c r="F6" s="71" t="s">
        <v>66</v>
      </c>
      <c r="G6" s="71">
        <f>ROUND((D6+E6),0)</f>
        <v>8794532</v>
      </c>
      <c r="H6" s="71">
        <v>2</v>
      </c>
      <c r="I6" s="71">
        <f>+G6*H6</f>
        <v>17589064</v>
      </c>
    </row>
    <row r="7" spans="1:11" ht="15" x14ac:dyDescent="0.25">
      <c r="A7" s="77" t="s">
        <v>0</v>
      </c>
      <c r="B7" s="77"/>
      <c r="C7" s="78"/>
      <c r="D7" s="70">
        <f t="shared" ref="D7:I7" si="0">SUM(D3:D6)</f>
        <v>21001853.666666664</v>
      </c>
      <c r="E7" s="70">
        <f t="shared" si="0"/>
        <v>1999949.4533333331</v>
      </c>
      <c r="F7" s="70">
        <f t="shared" si="0"/>
        <v>269938.15318000002</v>
      </c>
      <c r="G7" s="70">
        <f t="shared" si="0"/>
        <v>23271741</v>
      </c>
      <c r="H7" s="70">
        <f t="shared" si="0"/>
        <v>19</v>
      </c>
      <c r="I7" s="70">
        <f t="shared" si="0"/>
        <v>126641201</v>
      </c>
      <c r="K7" s="69"/>
    </row>
    <row r="8" spans="1:11" ht="15" x14ac:dyDescent="0.25">
      <c r="A8" s="14"/>
      <c r="B8" s="14"/>
      <c r="C8" s="14"/>
      <c r="D8" s="68"/>
      <c r="E8" s="68"/>
      <c r="F8" s="68"/>
      <c r="G8" s="68"/>
    </row>
    <row r="9" spans="1:11" ht="81.75" customHeight="1" x14ac:dyDescent="0.25">
      <c r="K9" s="67"/>
    </row>
  </sheetData>
  <mergeCells count="2">
    <mergeCell ref="A1:I1"/>
    <mergeCell ref="A7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4A88-2D79-429C-B825-012C5E7A9CB0}">
  <dimension ref="A1:P18"/>
  <sheetViews>
    <sheetView tabSelected="1" topLeftCell="A10" zoomScale="75" zoomScaleNormal="75" workbookViewId="0">
      <selection activeCell="G18" sqref="G18"/>
    </sheetView>
  </sheetViews>
  <sheetFormatPr baseColWidth="10" defaultRowHeight="81.75" customHeight="1" x14ac:dyDescent="0.25"/>
  <cols>
    <col min="1" max="1" width="9.28515625" style="2" customWidth="1"/>
    <col min="2" max="2" width="12.42578125" customWidth="1"/>
    <col min="3" max="3" width="26.7109375" customWidth="1"/>
    <col min="4" max="4" width="14.85546875" customWidth="1"/>
    <col min="5" max="5" width="12.85546875" customWidth="1"/>
    <col min="7" max="7" width="14.5703125" style="1" bestFit="1" customWidth="1"/>
    <col min="8" max="8" width="15.28515625" customWidth="1"/>
    <col min="9" max="9" width="12.28515625" customWidth="1"/>
    <col min="10" max="10" width="12.5703125" customWidth="1"/>
    <col min="11" max="11" width="13.28515625" customWidth="1"/>
    <col min="12" max="12" width="14.7109375" customWidth="1"/>
    <col min="13" max="13" width="16.28515625" customWidth="1"/>
    <col min="14" max="14" width="14.140625" customWidth="1"/>
    <col min="15" max="15" width="12.140625" customWidth="1"/>
    <col min="16" max="16" width="13.42578125" customWidth="1"/>
  </cols>
  <sheetData>
    <row r="1" spans="1:16" ht="81.75" customHeight="1" x14ac:dyDescent="0.55000000000000004">
      <c r="A1" s="74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</row>
    <row r="2" spans="1:16" s="17" customFormat="1" ht="81.75" customHeight="1" x14ac:dyDescent="0.35">
      <c r="A2" s="81" t="s">
        <v>12</v>
      </c>
      <c r="B2" s="81" t="s">
        <v>11</v>
      </c>
      <c r="C2" s="81" t="s">
        <v>10</v>
      </c>
      <c r="D2" s="83" t="s">
        <v>56</v>
      </c>
      <c r="E2" s="83"/>
      <c r="F2" s="83"/>
      <c r="G2" s="83"/>
      <c r="H2" s="83" t="s">
        <v>79</v>
      </c>
      <c r="I2" s="83"/>
      <c r="J2" s="83"/>
      <c r="K2" s="83"/>
      <c r="L2" s="84" t="s">
        <v>81</v>
      </c>
      <c r="M2" s="84"/>
      <c r="N2" s="84"/>
      <c r="O2" s="84"/>
      <c r="P2" s="18" t="s">
        <v>15</v>
      </c>
    </row>
    <row r="3" spans="1:16" ht="27.75" customHeight="1" x14ac:dyDescent="0.25">
      <c r="A3" s="82"/>
      <c r="B3" s="82"/>
      <c r="C3" s="82"/>
      <c r="D3" s="80" t="s">
        <v>73</v>
      </c>
      <c r="E3" s="85" t="s">
        <v>74</v>
      </c>
      <c r="F3" s="80" t="s">
        <v>14</v>
      </c>
      <c r="G3" s="91" t="s">
        <v>75</v>
      </c>
      <c r="H3" s="80" t="s">
        <v>73</v>
      </c>
      <c r="I3" s="85" t="s">
        <v>74</v>
      </c>
      <c r="J3" s="80" t="s">
        <v>14</v>
      </c>
      <c r="K3" s="91" t="s">
        <v>75</v>
      </c>
      <c r="L3" s="80" t="s">
        <v>73</v>
      </c>
      <c r="M3" s="85" t="s">
        <v>74</v>
      </c>
      <c r="N3" s="80" t="s">
        <v>14</v>
      </c>
      <c r="O3" s="91" t="s">
        <v>75</v>
      </c>
      <c r="P3" s="79" t="s">
        <v>13</v>
      </c>
    </row>
    <row r="4" spans="1:16" ht="56.25" customHeight="1" x14ac:dyDescent="0.25">
      <c r="A4" s="82"/>
      <c r="B4" s="82"/>
      <c r="C4" s="82"/>
      <c r="D4" s="80"/>
      <c r="E4" s="86"/>
      <c r="F4" s="80"/>
      <c r="G4" s="91"/>
      <c r="H4" s="80"/>
      <c r="I4" s="86"/>
      <c r="J4" s="80"/>
      <c r="K4" s="91"/>
      <c r="L4" s="80"/>
      <c r="M4" s="86"/>
      <c r="N4" s="80"/>
      <c r="O4" s="91"/>
      <c r="P4" s="79"/>
    </row>
    <row r="5" spans="1:16" ht="59.25" customHeight="1" x14ac:dyDescent="0.25">
      <c r="A5" s="9" t="s">
        <v>9</v>
      </c>
      <c r="B5" s="8" t="s">
        <v>4</v>
      </c>
      <c r="C5" s="15" t="s">
        <v>8</v>
      </c>
      <c r="D5" s="4">
        <f>+ATLAS!D3</f>
        <v>2386569.3969919998</v>
      </c>
      <c r="E5" s="4">
        <f>+D5*0.08</f>
        <v>190925.55175935998</v>
      </c>
      <c r="F5" s="4">
        <f>(E5+D5)*10%*19%</f>
        <v>48972.404026275835</v>
      </c>
      <c r="G5" s="4">
        <f>ROUND((D5+F5+E5),-0.1)</f>
        <v>2626467</v>
      </c>
      <c r="H5" s="4">
        <f>+COAUTONOMA!D3</f>
        <v>2386569.333333333</v>
      </c>
      <c r="I5" s="4">
        <f>+COAUTONOMA!E3</f>
        <v>190925.54666666663</v>
      </c>
      <c r="J5" s="4">
        <f>(I5+H5)*10%*19%</f>
        <v>48972.402720000006</v>
      </c>
      <c r="K5" s="4">
        <f t="shared" ref="K5:K8" si="0">ROUND((H5+J5+I5),-0.1)</f>
        <v>2626467</v>
      </c>
      <c r="L5" s="4">
        <v>2386569.333333333</v>
      </c>
      <c r="M5" s="4">
        <v>190925.54666666663</v>
      </c>
      <c r="N5" s="4">
        <f>(M5+L5)*10%*19%</f>
        <v>48972.402720000006</v>
      </c>
      <c r="O5" s="4">
        <f>ROUND((L5+N5+M5),-0.1)</f>
        <v>2626467</v>
      </c>
      <c r="P5" s="4">
        <f>+(G5+K5+O5)/3</f>
        <v>2626467</v>
      </c>
    </row>
    <row r="6" spans="1:16" ht="72" customHeight="1" x14ac:dyDescent="0.25">
      <c r="A6" s="9" t="s">
        <v>7</v>
      </c>
      <c r="B6" s="8" t="s">
        <v>4</v>
      </c>
      <c r="C6" s="15" t="s">
        <v>6</v>
      </c>
      <c r="D6" s="4">
        <f>+ATLAS!D4</f>
        <v>2625226.3366911998</v>
      </c>
      <c r="E6" s="4">
        <f t="shared" ref="E6" si="1">+D6*0.08</f>
        <v>210018.10693529597</v>
      </c>
      <c r="F6" s="4">
        <f t="shared" ref="F6:F7" si="2">(E6+D6)*10%*19%</f>
        <v>53869.644428903433</v>
      </c>
      <c r="G6" s="4">
        <f t="shared" ref="G6:G8" si="3">ROUND((D6+F6+E6),-0.1)</f>
        <v>2889114</v>
      </c>
      <c r="H6" s="4">
        <f>+COAUTONOMA!D4</f>
        <v>2625226.333333333</v>
      </c>
      <c r="I6" s="4">
        <f>+COAUTONOMA!E4</f>
        <v>210018.10666666666</v>
      </c>
      <c r="J6" s="4">
        <f t="shared" ref="J6:J7" si="4">(I6+H6)*10%*19%</f>
        <v>53869.644359999991</v>
      </c>
      <c r="K6" s="4">
        <f t="shared" si="0"/>
        <v>2889114</v>
      </c>
      <c r="L6" s="4">
        <v>2625226.333333333</v>
      </c>
      <c r="M6" s="4">
        <v>210018.10666666666</v>
      </c>
      <c r="N6" s="4">
        <f t="shared" ref="N6:N7" si="5">(M6+L6)*10%*19%</f>
        <v>53869.644359999991</v>
      </c>
      <c r="O6" s="4">
        <f t="shared" ref="O6:O8" si="6">ROUND((L6+N6+M6),-0.1)</f>
        <v>2889114</v>
      </c>
      <c r="P6" s="4">
        <f>+(G6+K6+O6)/3</f>
        <v>2889114</v>
      </c>
    </row>
    <row r="7" spans="1:16" ht="43.5" customHeight="1" x14ac:dyDescent="0.25">
      <c r="A7" s="9" t="s">
        <v>5</v>
      </c>
      <c r="B7" s="8" t="s">
        <v>4</v>
      </c>
      <c r="C7" s="15" t="s">
        <v>1</v>
      </c>
      <c r="D7" s="4">
        <f>+ATLAS!D5</f>
        <v>7995028.8000000007</v>
      </c>
      <c r="E7" s="4">
        <f>+D7*0.1</f>
        <v>799502.88000000012</v>
      </c>
      <c r="F7" s="4">
        <f t="shared" si="2"/>
        <v>167096.10192000004</v>
      </c>
      <c r="G7" s="4">
        <f t="shared" si="3"/>
        <v>8961628</v>
      </c>
      <c r="H7" s="4">
        <f>+COAUTONOMA!D5</f>
        <v>7995029</v>
      </c>
      <c r="I7" s="4">
        <f>+COAUTONOMA!E5</f>
        <v>799502.9</v>
      </c>
      <c r="J7" s="4">
        <f t="shared" si="4"/>
        <v>167096.1061</v>
      </c>
      <c r="K7" s="4">
        <f t="shared" si="0"/>
        <v>8961628</v>
      </c>
      <c r="L7" s="4">
        <v>7995029</v>
      </c>
      <c r="M7" s="4">
        <v>799502.9</v>
      </c>
      <c r="N7" s="4">
        <f t="shared" si="5"/>
        <v>167096.1061</v>
      </c>
      <c r="O7" s="4">
        <f t="shared" si="6"/>
        <v>8961628</v>
      </c>
      <c r="P7" s="4">
        <f>+(G7+K7+O7)/3</f>
        <v>8961628</v>
      </c>
    </row>
    <row r="8" spans="1:16" ht="54" customHeight="1" x14ac:dyDescent="0.25">
      <c r="A8" s="9" t="s">
        <v>3</v>
      </c>
      <c r="B8" s="8" t="s">
        <v>2</v>
      </c>
      <c r="C8" s="15" t="s">
        <v>1</v>
      </c>
      <c r="D8" s="4">
        <f>+ATLAS!D6</f>
        <v>7995028.8000000007</v>
      </c>
      <c r="E8" s="4">
        <f>+D8*0.1</f>
        <v>799502.88000000012</v>
      </c>
      <c r="F8" s="4"/>
      <c r="G8" s="4">
        <f t="shared" si="3"/>
        <v>8794532</v>
      </c>
      <c r="H8" s="4">
        <f>+COAUTONOMA!D6</f>
        <v>7995029</v>
      </c>
      <c r="I8" s="4">
        <f>+COAUTONOMA!E6</f>
        <v>799502.9</v>
      </c>
      <c r="J8" s="4"/>
      <c r="K8" s="4">
        <f t="shared" si="0"/>
        <v>8794532</v>
      </c>
      <c r="L8" s="4">
        <v>7995029</v>
      </c>
      <c r="M8" s="4">
        <v>799502.9</v>
      </c>
      <c r="N8" s="4"/>
      <c r="O8" s="4">
        <f t="shared" si="6"/>
        <v>8794532</v>
      </c>
      <c r="P8" s="4">
        <f>+(G8+K8+O8)/3</f>
        <v>8794532</v>
      </c>
    </row>
    <row r="9" spans="1:16" ht="15" x14ac:dyDescent="0.25">
      <c r="A9" s="77" t="s">
        <v>0</v>
      </c>
      <c r="B9" s="77"/>
      <c r="C9" s="78"/>
      <c r="D9" s="4">
        <f t="shared" ref="D9:P9" si="7">SUM(D5:D8)</f>
        <v>21001853.3336832</v>
      </c>
      <c r="E9" s="4">
        <f t="shared" si="7"/>
        <v>1999949.4186946561</v>
      </c>
      <c r="F9" s="4">
        <f t="shared" si="7"/>
        <v>269938.15037517931</v>
      </c>
      <c r="G9" s="4">
        <f t="shared" si="7"/>
        <v>23271741</v>
      </c>
      <c r="H9" s="4">
        <f t="shared" si="7"/>
        <v>21001853.666666664</v>
      </c>
      <c r="I9" s="4">
        <f t="shared" si="7"/>
        <v>1999949.4533333331</v>
      </c>
      <c r="J9" s="4">
        <f t="shared" si="7"/>
        <v>269938.15318000002</v>
      </c>
      <c r="K9" s="4">
        <f t="shared" si="7"/>
        <v>23271741</v>
      </c>
      <c r="L9" s="4">
        <f t="shared" si="7"/>
        <v>21001853.666666664</v>
      </c>
      <c r="M9" s="4">
        <f t="shared" si="7"/>
        <v>1999949.4533333331</v>
      </c>
      <c r="N9" s="4">
        <f t="shared" si="7"/>
        <v>269938.15318000002</v>
      </c>
      <c r="O9" s="4">
        <f t="shared" si="7"/>
        <v>23271741</v>
      </c>
      <c r="P9" s="4">
        <f t="shared" si="7"/>
        <v>23271741</v>
      </c>
    </row>
    <row r="10" spans="1:16" ht="15" x14ac:dyDescent="0.25">
      <c r="A10" s="14"/>
      <c r="B10" s="14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5" x14ac:dyDescent="0.25">
      <c r="A11" s="14"/>
      <c r="B11" s="14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81.75" customHeight="1" x14ac:dyDescent="0.25">
      <c r="A12" s="92" t="s">
        <v>12</v>
      </c>
      <c r="B12" s="92" t="s">
        <v>11</v>
      </c>
      <c r="C12" s="92" t="s">
        <v>10</v>
      </c>
      <c r="D12" s="93" t="s">
        <v>76</v>
      </c>
      <c r="E12" s="94"/>
      <c r="F12" s="94"/>
      <c r="G12" s="95"/>
      <c r="H12" s="93" t="s">
        <v>77</v>
      </c>
      <c r="I12" s="94"/>
      <c r="J12" s="94"/>
      <c r="K12" s="94"/>
      <c r="L12" s="95"/>
      <c r="M12" s="87" t="s">
        <v>78</v>
      </c>
    </row>
    <row r="13" spans="1:16" s="10" customFormat="1" ht="61.5" customHeight="1" x14ac:dyDescent="0.25">
      <c r="A13" s="81"/>
      <c r="B13" s="81"/>
      <c r="C13" s="81"/>
      <c r="D13" s="12" t="s">
        <v>57</v>
      </c>
      <c r="E13" s="12" t="s">
        <v>58</v>
      </c>
      <c r="F13" s="12" t="s">
        <v>59</v>
      </c>
      <c r="G13" s="12" t="s">
        <v>60</v>
      </c>
      <c r="H13" s="12" t="s">
        <v>61</v>
      </c>
      <c r="I13" s="12" t="s">
        <v>62</v>
      </c>
      <c r="J13" s="12" t="s">
        <v>63</v>
      </c>
      <c r="K13" s="12" t="s">
        <v>64</v>
      </c>
      <c r="L13" s="12" t="s">
        <v>65</v>
      </c>
      <c r="M13" s="88"/>
    </row>
    <row r="14" spans="1:16" ht="58.5" customHeight="1" x14ac:dyDescent="0.25">
      <c r="A14" s="9" t="s">
        <v>9</v>
      </c>
      <c r="B14" s="8" t="s">
        <v>4</v>
      </c>
      <c r="C14" s="8" t="s">
        <v>8</v>
      </c>
      <c r="D14" s="4">
        <f>+P5</f>
        <v>2626467</v>
      </c>
      <c r="E14" s="64">
        <f>+'[1]RESUMEN VIGILANCIAOK (2)'!H3</f>
        <v>3</v>
      </c>
      <c r="F14" s="64">
        <v>2</v>
      </c>
      <c r="G14" s="4">
        <f>+D14*F14*E14</f>
        <v>15758802</v>
      </c>
      <c r="H14" s="62">
        <v>2.4E-2</v>
      </c>
      <c r="I14" s="4">
        <f>ROUND((D14+(D14*H14)),0)</f>
        <v>2689502</v>
      </c>
      <c r="J14" s="64">
        <v>3</v>
      </c>
      <c r="K14" s="64">
        <v>7</v>
      </c>
      <c r="L14" s="4">
        <f>+I14*J14*K14</f>
        <v>56479542</v>
      </c>
      <c r="M14" s="72">
        <f>+G14+L14</f>
        <v>72238344</v>
      </c>
    </row>
    <row r="15" spans="1:16" ht="75" customHeight="1" x14ac:dyDescent="0.25">
      <c r="A15" s="9" t="s">
        <v>7</v>
      </c>
      <c r="B15" s="8" t="s">
        <v>4</v>
      </c>
      <c r="C15" s="8" t="s">
        <v>6</v>
      </c>
      <c r="D15" s="4">
        <f>+P6</f>
        <v>2889114</v>
      </c>
      <c r="E15" s="64">
        <f>+'[1]RESUMEN VIGILANCIAOK (2)'!H4</f>
        <v>4</v>
      </c>
      <c r="F15" s="64">
        <v>2</v>
      </c>
      <c r="G15" s="4">
        <f>+D15*F15*E15</f>
        <v>23112912</v>
      </c>
      <c r="H15" s="62">
        <v>2.4E-2</v>
      </c>
      <c r="I15" s="4">
        <f t="shared" ref="I15:I17" si="8">ROUND((D15+(D15*H15)),0)</f>
        <v>2958453</v>
      </c>
      <c r="J15" s="64">
        <v>4</v>
      </c>
      <c r="K15" s="64">
        <v>7</v>
      </c>
      <c r="L15" s="4">
        <f>+I15*J15*K15</f>
        <v>82836684</v>
      </c>
      <c r="M15" s="72">
        <f>+G15+L15</f>
        <v>105949596</v>
      </c>
    </row>
    <row r="16" spans="1:16" ht="63.75" customHeight="1" x14ac:dyDescent="0.25">
      <c r="A16" s="9" t="s">
        <v>5</v>
      </c>
      <c r="B16" s="8" t="s">
        <v>4</v>
      </c>
      <c r="C16" s="8" t="s">
        <v>1</v>
      </c>
      <c r="D16" s="4">
        <f>+P7</f>
        <v>8961628</v>
      </c>
      <c r="E16" s="64">
        <f>+'[1]RESUMEN VIGILANCIAOK (2)'!H5</f>
        <v>10</v>
      </c>
      <c r="F16" s="64">
        <v>2</v>
      </c>
      <c r="G16" s="4">
        <f>+D16*F16*E16</f>
        <v>179232560</v>
      </c>
      <c r="H16" s="62">
        <v>2.4E-2</v>
      </c>
      <c r="I16" s="4">
        <f t="shared" si="8"/>
        <v>9176707</v>
      </c>
      <c r="J16" s="64">
        <v>10</v>
      </c>
      <c r="K16" s="64">
        <v>7</v>
      </c>
      <c r="L16" s="4">
        <f>+I16*J16*K16</f>
        <v>642369490</v>
      </c>
      <c r="M16" s="72">
        <f>+G16+L16</f>
        <v>821602050</v>
      </c>
    </row>
    <row r="17" spans="1:13" ht="46.5" customHeight="1" x14ac:dyDescent="0.25">
      <c r="A17" s="9" t="s">
        <v>3</v>
      </c>
      <c r="B17" s="8" t="s">
        <v>2</v>
      </c>
      <c r="C17" s="8" t="s">
        <v>1</v>
      </c>
      <c r="D17" s="4">
        <f>+P8</f>
        <v>8794532</v>
      </c>
      <c r="E17" s="64">
        <f>+'[1]RESUMEN VIGILANCIAOK (2)'!H6</f>
        <v>2</v>
      </c>
      <c r="F17" s="64">
        <v>2</v>
      </c>
      <c r="G17" s="4">
        <f>+D17*F17*E17</f>
        <v>35178128</v>
      </c>
      <c r="H17" s="62">
        <v>2.4E-2</v>
      </c>
      <c r="I17" s="4">
        <f t="shared" si="8"/>
        <v>9005601</v>
      </c>
      <c r="J17" s="64">
        <v>2</v>
      </c>
      <c r="K17" s="64">
        <v>7</v>
      </c>
      <c r="L17" s="4">
        <f>+I17*J17*K17</f>
        <v>126078414</v>
      </c>
      <c r="M17" s="72">
        <f>+G17+L17</f>
        <v>161256542</v>
      </c>
    </row>
    <row r="18" spans="1:13" s="3" customFormat="1" ht="15.75" x14ac:dyDescent="0.25">
      <c r="A18" s="78" t="s">
        <v>0</v>
      </c>
      <c r="B18" s="89"/>
      <c r="C18" s="90"/>
      <c r="D18" s="5">
        <f>SUM(D14:D17)</f>
        <v>23271741</v>
      </c>
      <c r="E18" s="63">
        <f>SUM(E14:E17)</f>
        <v>19</v>
      </c>
      <c r="F18" s="5"/>
      <c r="G18" s="5">
        <f>SUM(G14:G17)</f>
        <v>253282402</v>
      </c>
      <c r="H18" s="7"/>
      <c r="I18" s="5">
        <f>SUM(I14:I17)</f>
        <v>23830263</v>
      </c>
      <c r="J18" s="63">
        <f>SUM(J14:J17)</f>
        <v>19</v>
      </c>
      <c r="K18" s="5"/>
      <c r="L18" s="5">
        <f>SUM(L14:L17)</f>
        <v>907764130</v>
      </c>
      <c r="M18" s="73">
        <f>+G18+L18</f>
        <v>1161046532</v>
      </c>
    </row>
  </sheetData>
  <mergeCells count="28">
    <mergeCell ref="M12:M13"/>
    <mergeCell ref="A18:C18"/>
    <mergeCell ref="M3:M4"/>
    <mergeCell ref="N3:N4"/>
    <mergeCell ref="O3:O4"/>
    <mergeCell ref="A9:C9"/>
    <mergeCell ref="A12:A13"/>
    <mergeCell ref="B12:B13"/>
    <mergeCell ref="C12:C13"/>
    <mergeCell ref="D12:G12"/>
    <mergeCell ref="H12:L12"/>
    <mergeCell ref="G3:G4"/>
    <mergeCell ref="H3:H4"/>
    <mergeCell ref="I3:I4"/>
    <mergeCell ref="J3:J4"/>
    <mergeCell ref="K3:K4"/>
    <mergeCell ref="P3:P4"/>
    <mergeCell ref="A1:P1"/>
    <mergeCell ref="L3:L4"/>
    <mergeCell ref="A2:A4"/>
    <mergeCell ref="B2:B4"/>
    <mergeCell ref="C2:C4"/>
    <mergeCell ref="D2:G2"/>
    <mergeCell ref="H2:K2"/>
    <mergeCell ref="L2:O2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DBA19-5E4F-4663-A7D9-0228F6C5289E}">
  <dimension ref="A1:I8"/>
  <sheetViews>
    <sheetView zoomScale="75" zoomScaleNormal="75" workbookViewId="0">
      <selection activeCell="E8" sqref="E8"/>
    </sheetView>
  </sheetViews>
  <sheetFormatPr baseColWidth="10" defaultRowHeight="81.75" customHeight="1" x14ac:dyDescent="0.25"/>
  <cols>
    <col min="1" max="1" width="10.5703125" style="2" customWidth="1"/>
    <col min="2" max="2" width="12.42578125" customWidth="1"/>
    <col min="3" max="3" width="26.7109375" customWidth="1"/>
    <col min="4" max="4" width="14.85546875" customWidth="1"/>
    <col min="5" max="5" width="12.85546875" customWidth="1"/>
    <col min="7" max="7" width="14.5703125" style="1" bestFit="1" customWidth="1"/>
    <col min="8" max="8" width="13.5703125" customWidth="1"/>
    <col min="9" max="9" width="17.140625" customWidth="1"/>
    <col min="10" max="10" width="13.42578125" customWidth="1"/>
  </cols>
  <sheetData>
    <row r="1" spans="1:9" ht="105.75" customHeight="1" x14ac:dyDescent="0.55000000000000004">
      <c r="A1" s="74" t="s">
        <v>72</v>
      </c>
      <c r="B1" s="75"/>
      <c r="C1" s="75"/>
      <c r="D1" s="75"/>
      <c r="E1" s="75"/>
      <c r="F1" s="75"/>
      <c r="G1" s="75"/>
      <c r="H1" s="75"/>
      <c r="I1" s="76"/>
    </row>
    <row r="2" spans="1:9" s="17" customFormat="1" ht="81.75" customHeight="1" x14ac:dyDescent="0.35">
      <c r="A2" s="11" t="s">
        <v>12</v>
      </c>
      <c r="B2" s="11" t="s">
        <v>11</v>
      </c>
      <c r="C2" s="11" t="s">
        <v>10</v>
      </c>
      <c r="D2" s="66" t="s">
        <v>71</v>
      </c>
      <c r="E2" s="16" t="s">
        <v>70</v>
      </c>
      <c r="F2" s="66" t="s">
        <v>14</v>
      </c>
      <c r="G2" s="65" t="s">
        <v>69</v>
      </c>
      <c r="H2" s="65" t="s">
        <v>68</v>
      </c>
      <c r="I2" s="65" t="s">
        <v>67</v>
      </c>
    </row>
    <row r="3" spans="1:9" ht="59.25" customHeight="1" x14ac:dyDescent="0.25">
      <c r="A3" s="9" t="s">
        <v>9</v>
      </c>
      <c r="B3" s="8" t="s">
        <v>4</v>
      </c>
      <c r="C3" s="15" t="s">
        <v>8</v>
      </c>
      <c r="D3" s="4">
        <f>((((((908526*8.8)*55.97%)/30)*20)/15)*12)</f>
        <v>2386569.3969919998</v>
      </c>
      <c r="E3" s="4">
        <f>D3*8%</f>
        <v>190925.55175935998</v>
      </c>
      <c r="F3" s="4">
        <f>(D3+E3)*10%*19%</f>
        <v>48972.404026275835</v>
      </c>
      <c r="G3" s="4">
        <f>ROUND((D3+F3+E3),0)</f>
        <v>2626467</v>
      </c>
      <c r="H3" s="64">
        <v>3</v>
      </c>
      <c r="I3" s="4">
        <f>+G3*H3</f>
        <v>7879401</v>
      </c>
    </row>
    <row r="4" spans="1:9" ht="72" customHeight="1" x14ac:dyDescent="0.25">
      <c r="A4" s="9" t="s">
        <v>7</v>
      </c>
      <c r="B4" s="8" t="s">
        <v>4</v>
      </c>
      <c r="C4" s="15" t="s">
        <v>6</v>
      </c>
      <c r="D4" s="4">
        <f>((((((908526*8.8)*55.97%)/30)*20)/15)*12+(((((908526*8.8)*55.97%)/30)*4)/15)*6)</f>
        <v>2625226.3366911998</v>
      </c>
      <c r="E4" s="4">
        <f>D4*8%</f>
        <v>210018.10693529597</v>
      </c>
      <c r="F4" s="4">
        <f>(D4+E4)*10%*19%</f>
        <v>53869.644428903433</v>
      </c>
      <c r="G4" s="4">
        <f>ROUND((D4+F4+E4),0)</f>
        <v>2889114</v>
      </c>
      <c r="H4" s="64">
        <v>4</v>
      </c>
      <c r="I4" s="4">
        <f>+G4*H4</f>
        <v>11556456</v>
      </c>
    </row>
    <row r="5" spans="1:9" ht="43.5" customHeight="1" x14ac:dyDescent="0.25">
      <c r="A5" s="9" t="s">
        <v>5</v>
      </c>
      <c r="B5" s="8" t="s">
        <v>4</v>
      </c>
      <c r="C5" s="15" t="s">
        <v>1</v>
      </c>
      <c r="D5" s="4">
        <f>(((((908526*8.8)))))</f>
        <v>7995028.8000000007</v>
      </c>
      <c r="E5" s="4">
        <f>D5*10%</f>
        <v>799502.88000000012</v>
      </c>
      <c r="F5" s="4">
        <f>(D5+E5)*10%*19%</f>
        <v>167096.10192000004</v>
      </c>
      <c r="G5" s="4">
        <f>ROUND((D5+F5+E5),0)</f>
        <v>8961628</v>
      </c>
      <c r="H5" s="64">
        <v>10</v>
      </c>
      <c r="I5" s="4">
        <f>+G5*H5</f>
        <v>89616280</v>
      </c>
    </row>
    <row r="6" spans="1:9" ht="54" customHeight="1" x14ac:dyDescent="0.25">
      <c r="A6" s="9" t="s">
        <v>3</v>
      </c>
      <c r="B6" s="8" t="s">
        <v>2</v>
      </c>
      <c r="C6" s="15" t="s">
        <v>1</v>
      </c>
      <c r="D6" s="4">
        <f>(((((908526*8.8)))))</f>
        <v>7995028.8000000007</v>
      </c>
      <c r="E6" s="4">
        <f>D6*10%</f>
        <v>799502.88000000012</v>
      </c>
      <c r="F6" s="64" t="s">
        <v>66</v>
      </c>
      <c r="G6" s="4">
        <f>ROUND((D6+E6),0)</f>
        <v>8794532</v>
      </c>
      <c r="H6" s="64">
        <v>2</v>
      </c>
      <c r="I6" s="4">
        <f>+G6*H6</f>
        <v>17589064</v>
      </c>
    </row>
    <row r="7" spans="1:9" ht="15" x14ac:dyDescent="0.25">
      <c r="A7" s="77" t="s">
        <v>0</v>
      </c>
      <c r="B7" s="77"/>
      <c r="C7" s="78"/>
      <c r="D7" s="6">
        <f t="shared" ref="D7:I7" si="0">SUM(D3:D6)</f>
        <v>21001853.3336832</v>
      </c>
      <c r="E7" s="6">
        <f t="shared" si="0"/>
        <v>1999949.4186946561</v>
      </c>
      <c r="F7" s="6">
        <f t="shared" si="0"/>
        <v>269938.15037517931</v>
      </c>
      <c r="G7" s="6">
        <f t="shared" si="0"/>
        <v>23271741</v>
      </c>
      <c r="H7" s="63">
        <f t="shared" si="0"/>
        <v>19</v>
      </c>
      <c r="I7" s="6">
        <f t="shared" si="0"/>
        <v>126641201</v>
      </c>
    </row>
    <row r="8" spans="1:9" ht="15" x14ac:dyDescent="0.25">
      <c r="A8" s="14"/>
      <c r="B8" s="14"/>
      <c r="C8" s="14"/>
      <c r="D8" s="13"/>
      <c r="E8" s="13"/>
      <c r="F8" s="13"/>
      <c r="G8" s="13"/>
    </row>
  </sheetData>
  <mergeCells count="2">
    <mergeCell ref="A1:I1"/>
    <mergeCell ref="A7:C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27DF-EED1-4829-BDF1-45763DCE1892}">
  <sheetPr>
    <tabColor rgb="FFFFC000"/>
    <pageSetUpPr fitToPage="1"/>
  </sheetPr>
  <dimension ref="A1:W45"/>
  <sheetViews>
    <sheetView zoomScale="86" zoomScaleNormal="86" workbookViewId="0">
      <selection activeCell="F4" sqref="F4"/>
    </sheetView>
  </sheetViews>
  <sheetFormatPr baseColWidth="10" defaultColWidth="11.42578125" defaultRowHeight="15" x14ac:dyDescent="0.25"/>
  <cols>
    <col min="1" max="1" width="31.5703125" style="20" customWidth="1"/>
    <col min="2" max="2" width="11.42578125" style="46" customWidth="1"/>
    <col min="3" max="3" width="32.7109375" style="20" customWidth="1"/>
    <col min="4" max="4" width="16.140625" style="20" customWidth="1"/>
    <col min="5" max="5" width="13.85546875" style="20" hidden="1" customWidth="1"/>
    <col min="6" max="6" width="12.5703125" style="20" customWidth="1"/>
    <col min="7" max="7" width="16.7109375" style="20" customWidth="1"/>
    <col min="8" max="8" width="11.42578125" style="19" hidden="1" customWidth="1"/>
    <col min="9" max="9" width="6.28515625" style="19" hidden="1" customWidth="1"/>
    <col min="10" max="10" width="1.42578125" style="19" hidden="1" customWidth="1"/>
    <col min="11" max="11" width="11.42578125" style="19" hidden="1" customWidth="1"/>
    <col min="12" max="12" width="33.28515625" style="19" hidden="1" customWidth="1"/>
    <col min="13" max="13" width="26" style="19" hidden="1" customWidth="1"/>
    <col min="14" max="14" width="11.42578125" style="19" hidden="1" customWidth="1"/>
    <col min="15" max="15" width="13.28515625" style="19" hidden="1" customWidth="1"/>
    <col min="16" max="16" width="15.7109375" style="19" hidden="1" customWidth="1"/>
    <col min="17" max="17" width="11.42578125" style="19" hidden="1" customWidth="1"/>
    <col min="18" max="18" width="14.42578125" style="19" hidden="1" customWidth="1"/>
    <col min="19" max="20" width="11.42578125" style="19" hidden="1" customWidth="1"/>
    <col min="21" max="23" width="11.42578125" style="19"/>
    <col min="24" max="16384" width="11.42578125" style="20"/>
  </cols>
  <sheetData>
    <row r="1" spans="1:18" ht="48" customHeight="1" x14ac:dyDescent="0.25">
      <c r="A1" s="96" t="s">
        <v>80</v>
      </c>
      <c r="B1" s="97"/>
      <c r="C1" s="97"/>
      <c r="D1" s="97"/>
      <c r="E1" s="97"/>
      <c r="F1" s="97"/>
      <c r="G1" s="97"/>
    </row>
    <row r="2" spans="1:18" ht="60.75" customHeight="1" x14ac:dyDescent="0.25">
      <c r="A2" s="21" t="s">
        <v>17</v>
      </c>
      <c r="B2" s="22" t="s">
        <v>18</v>
      </c>
      <c r="C2" s="21" t="s">
        <v>19</v>
      </c>
      <c r="D2" s="22" t="s">
        <v>20</v>
      </c>
      <c r="E2" s="23" t="s">
        <v>21</v>
      </c>
      <c r="F2" s="22" t="s">
        <v>14</v>
      </c>
      <c r="G2" s="22" t="s">
        <v>22</v>
      </c>
      <c r="I2" s="24"/>
      <c r="L2" s="25" t="s">
        <v>23</v>
      </c>
      <c r="M2" s="26">
        <v>908526</v>
      </c>
      <c r="N2" s="25"/>
      <c r="O2" s="25"/>
      <c r="P2" s="25"/>
    </row>
    <row r="3" spans="1:18" ht="48" x14ac:dyDescent="0.25">
      <c r="A3" s="27" t="s">
        <v>24</v>
      </c>
      <c r="B3" s="28">
        <v>1</v>
      </c>
      <c r="C3" s="27" t="s">
        <v>8</v>
      </c>
      <c r="D3" s="29">
        <f>+(M$29+N$29)</f>
        <v>2577494.9487513597</v>
      </c>
      <c r="E3" s="29">
        <f>D3*10%</f>
        <v>257749.49487513598</v>
      </c>
      <c r="F3" s="29">
        <f>+E3*19%</f>
        <v>48972.404026275835</v>
      </c>
      <c r="G3" s="30">
        <f>ROUND(D3+F3,0)</f>
        <v>2626467</v>
      </c>
      <c r="H3" s="19" t="s">
        <v>25</v>
      </c>
      <c r="L3" s="25" t="s">
        <v>26</v>
      </c>
      <c r="M3" s="25">
        <v>20</v>
      </c>
      <c r="N3" s="25"/>
      <c r="O3" s="25"/>
      <c r="P3" s="25"/>
    </row>
    <row r="4" spans="1:18" ht="48" x14ac:dyDescent="0.25">
      <c r="A4" s="27" t="s">
        <v>27</v>
      </c>
      <c r="B4" s="28">
        <v>1</v>
      </c>
      <c r="C4" s="27" t="s">
        <v>8</v>
      </c>
      <c r="D4" s="29">
        <f>+(M$29+N$29)</f>
        <v>2577494.9487513597</v>
      </c>
      <c r="E4" s="29">
        <f t="shared" ref="E4:E21" si="0">D4*10%</f>
        <v>257749.49487513598</v>
      </c>
      <c r="F4" s="29">
        <f t="shared" ref="F4:F14" si="1">+E4*19%</f>
        <v>48972.404026275835</v>
      </c>
      <c r="G4" s="30">
        <f t="shared" ref="G4:G20" si="2">ROUND(D4+F4,0)</f>
        <v>2626467</v>
      </c>
      <c r="L4" s="25" t="s">
        <v>28</v>
      </c>
      <c r="M4" s="25">
        <v>4</v>
      </c>
      <c r="N4" s="25"/>
      <c r="O4" s="25"/>
      <c r="P4" s="25"/>
    </row>
    <row r="5" spans="1:18" ht="48" x14ac:dyDescent="0.25">
      <c r="A5" s="27" t="str">
        <f>+'[2]JUNIO16-30'!A5</f>
        <v>EDIFICIO  (CARTAGENA) NUEVOS JUZGADOS LABORALES</v>
      </c>
      <c r="B5" s="28">
        <f>+'[2]JUNIO16-30'!B5</f>
        <v>1</v>
      </c>
      <c r="C5" s="27" t="str">
        <f>+'[2]JUNIO16-30'!C5</f>
        <v>Servicio de vigilancia física con medio humano, sin arma, sin canino, con jornada de 12 horas (7:00 a.m. a  7:00 p.m.) de lunes a viernes laborales.</v>
      </c>
      <c r="D5" s="29">
        <f>+M29+N29</f>
        <v>2577494.9487513597</v>
      </c>
      <c r="E5" s="29">
        <f t="shared" si="0"/>
        <v>257749.49487513598</v>
      </c>
      <c r="F5" s="29">
        <f t="shared" si="1"/>
        <v>48972.404026275835</v>
      </c>
      <c r="G5" s="30">
        <f t="shared" si="2"/>
        <v>2626467</v>
      </c>
      <c r="L5" s="25"/>
      <c r="M5" s="25"/>
      <c r="N5" s="25"/>
      <c r="O5" s="25"/>
      <c r="P5" s="25"/>
    </row>
    <row r="6" spans="1:18" ht="48" x14ac:dyDescent="0.25">
      <c r="A6" s="27" t="s">
        <v>29</v>
      </c>
      <c r="B6" s="28">
        <v>1</v>
      </c>
      <c r="C6" s="27" t="s">
        <v>1</v>
      </c>
      <c r="D6" s="29">
        <f>+M8+N8</f>
        <v>8794531.6800000016</v>
      </c>
      <c r="E6" s="29">
        <f t="shared" si="0"/>
        <v>879453.16800000018</v>
      </c>
      <c r="F6" s="29">
        <f t="shared" si="1"/>
        <v>167096.10192000004</v>
      </c>
      <c r="G6" s="30">
        <f>ROUND(D6+F6,0)</f>
        <v>8961628</v>
      </c>
      <c r="H6" s="31"/>
      <c r="I6" s="32"/>
      <c r="J6" s="32"/>
      <c r="L6" s="25"/>
      <c r="M6" s="25"/>
      <c r="N6" s="25"/>
      <c r="O6" s="25"/>
      <c r="P6" s="25"/>
    </row>
    <row r="7" spans="1:18" ht="81.75" customHeight="1" x14ac:dyDescent="0.25">
      <c r="A7" s="27" t="s">
        <v>30</v>
      </c>
      <c r="B7" s="28">
        <v>1</v>
      </c>
      <c r="C7" s="27" t="s">
        <v>6</v>
      </c>
      <c r="D7" s="33">
        <f>$M$11+$N$11</f>
        <v>2835244.443626496</v>
      </c>
      <c r="E7" s="29">
        <f t="shared" si="0"/>
        <v>283524.44436264964</v>
      </c>
      <c r="F7" s="29">
        <f t="shared" si="1"/>
        <v>53869.644428903433</v>
      </c>
      <c r="G7" s="30">
        <f t="shared" si="2"/>
        <v>2889114</v>
      </c>
      <c r="L7" s="34" t="s">
        <v>31</v>
      </c>
      <c r="M7" s="34" t="s">
        <v>32</v>
      </c>
      <c r="N7" s="34" t="s">
        <v>33</v>
      </c>
      <c r="O7" s="34" t="s">
        <v>34</v>
      </c>
      <c r="P7" s="34" t="s">
        <v>35</v>
      </c>
      <c r="R7" s="35"/>
    </row>
    <row r="8" spans="1:18" ht="77.25" customHeight="1" x14ac:dyDescent="0.25">
      <c r="A8" s="27" t="s">
        <v>36</v>
      </c>
      <c r="B8" s="28">
        <v>1</v>
      </c>
      <c r="C8" s="27" t="s">
        <v>6</v>
      </c>
      <c r="D8" s="33">
        <f>$M$11+$N$11</f>
        <v>2835244.443626496</v>
      </c>
      <c r="E8" s="29">
        <f t="shared" si="0"/>
        <v>283524.44436264964</v>
      </c>
      <c r="F8" s="29">
        <f t="shared" si="1"/>
        <v>53869.644428903433</v>
      </c>
      <c r="G8" s="30">
        <f t="shared" si="2"/>
        <v>2889114</v>
      </c>
      <c r="L8" s="36" t="s">
        <v>37</v>
      </c>
      <c r="M8" s="37">
        <f>M2*8.8</f>
        <v>7995028.8000000007</v>
      </c>
      <c r="N8" s="37">
        <f>+M8*10%</f>
        <v>799502.88000000012</v>
      </c>
      <c r="O8" s="37">
        <f>+((M8+N8)*10%)*19%</f>
        <v>167096.10192000004</v>
      </c>
      <c r="P8" s="38">
        <f>ROUND(M8+N8+O8,0)</f>
        <v>8961628</v>
      </c>
    </row>
    <row r="9" spans="1:18" ht="77.25" customHeight="1" x14ac:dyDescent="0.25">
      <c r="A9" s="27" t="s">
        <v>38</v>
      </c>
      <c r="B9" s="28">
        <v>1</v>
      </c>
      <c r="C9" s="27" t="s">
        <v>6</v>
      </c>
      <c r="D9" s="33">
        <f>$M$11+$N$11</f>
        <v>2835244.443626496</v>
      </c>
      <c r="E9" s="29">
        <f t="shared" si="0"/>
        <v>283524.44436264964</v>
      </c>
      <c r="F9" s="29">
        <f t="shared" si="1"/>
        <v>53869.644428903433</v>
      </c>
      <c r="G9" s="30">
        <f t="shared" si="2"/>
        <v>2889114</v>
      </c>
      <c r="L9" s="39" t="s">
        <v>39</v>
      </c>
      <c r="M9" s="37">
        <f>+(((((M2*8.8)*55.97%)/30)*M3)/15)*12</f>
        <v>2386569.3969919998</v>
      </c>
      <c r="N9" s="37">
        <f>+M9*8%</f>
        <v>190925.55175935998</v>
      </c>
      <c r="O9" s="37">
        <f>+((M9+N9)*10%)*19%</f>
        <v>48972.404026275835</v>
      </c>
      <c r="P9" s="38">
        <f>ROUND(M9+N9+O9,0)</f>
        <v>2626467</v>
      </c>
    </row>
    <row r="10" spans="1:18" ht="77.25" customHeight="1" x14ac:dyDescent="0.25">
      <c r="A10" s="27" t="s">
        <v>40</v>
      </c>
      <c r="B10" s="28">
        <v>1</v>
      </c>
      <c r="C10" s="27" t="s">
        <v>6</v>
      </c>
      <c r="D10" s="33">
        <f>$M$11+$N$11</f>
        <v>2835244.443626496</v>
      </c>
      <c r="E10" s="29">
        <f t="shared" si="0"/>
        <v>283524.44436264964</v>
      </c>
      <c r="F10" s="29">
        <f t="shared" si="1"/>
        <v>53869.644428903433</v>
      </c>
      <c r="G10" s="30">
        <f t="shared" si="2"/>
        <v>2889114</v>
      </c>
      <c r="L10" s="39" t="s">
        <v>41</v>
      </c>
      <c r="M10" s="37">
        <f>+(((((M2*8.8)*55.97%)/30)*4)/15)*6</f>
        <v>238656.93969919998</v>
      </c>
      <c r="N10" s="37">
        <f>+M10*8%</f>
        <v>19092.555175935999</v>
      </c>
      <c r="O10" s="37">
        <f>+((M10+N10)*10%)*19%</f>
        <v>4897.2404026275844</v>
      </c>
      <c r="P10" s="38">
        <f>ROUND(M10+N10+O10,0)</f>
        <v>262647</v>
      </c>
    </row>
    <row r="11" spans="1:18" ht="48" x14ac:dyDescent="0.25">
      <c r="A11" s="27" t="s">
        <v>42</v>
      </c>
      <c r="B11" s="28">
        <v>1</v>
      </c>
      <c r="C11" s="27" t="s">
        <v>1</v>
      </c>
      <c r="D11" s="29">
        <f>+D6</f>
        <v>8794531.6800000016</v>
      </c>
      <c r="E11" s="29">
        <f t="shared" si="0"/>
        <v>879453.16800000018</v>
      </c>
      <c r="F11" s="29">
        <f t="shared" si="1"/>
        <v>167096.10192000004</v>
      </c>
      <c r="G11" s="30">
        <f t="shared" si="2"/>
        <v>8961628</v>
      </c>
      <c r="H11" s="31"/>
      <c r="I11" s="32"/>
      <c r="J11" s="32"/>
      <c r="L11" s="39" t="s">
        <v>43</v>
      </c>
      <c r="M11" s="37">
        <f>+M9+M10</f>
        <v>2625226.3366911998</v>
      </c>
      <c r="N11" s="37">
        <f>+N10+N9</f>
        <v>210018.10693529597</v>
      </c>
      <c r="O11" s="37">
        <f>+O10+O9</f>
        <v>53869.644428903419</v>
      </c>
      <c r="P11" s="37">
        <f>+P10+P9</f>
        <v>2889114</v>
      </c>
    </row>
    <row r="12" spans="1:18" ht="44.25" customHeight="1" x14ac:dyDescent="0.25">
      <c r="A12" s="27" t="s">
        <v>44</v>
      </c>
      <c r="B12" s="28">
        <v>1</v>
      </c>
      <c r="C12" s="27" t="s">
        <v>1</v>
      </c>
      <c r="D12" s="29">
        <f>+D11</f>
        <v>8794531.6800000016</v>
      </c>
      <c r="E12" s="29">
        <f t="shared" si="0"/>
        <v>879453.16800000018</v>
      </c>
      <c r="F12" s="29">
        <f t="shared" si="1"/>
        <v>167096.10192000004</v>
      </c>
      <c r="G12" s="30">
        <f t="shared" si="2"/>
        <v>8961628</v>
      </c>
      <c r="L12" s="25"/>
      <c r="M12" s="25"/>
      <c r="N12" s="25"/>
      <c r="O12" s="25"/>
      <c r="P12" s="25"/>
    </row>
    <row r="13" spans="1:18" ht="44.25" customHeight="1" x14ac:dyDescent="0.25">
      <c r="A13" s="27" t="s">
        <v>45</v>
      </c>
      <c r="B13" s="28">
        <v>1</v>
      </c>
      <c r="C13" s="27" t="s">
        <v>1</v>
      </c>
      <c r="D13" s="29">
        <f>+D12</f>
        <v>8794531.6800000016</v>
      </c>
      <c r="E13" s="29">
        <f t="shared" si="0"/>
        <v>879453.16800000018</v>
      </c>
      <c r="F13" s="29">
        <f t="shared" si="1"/>
        <v>167096.10192000004</v>
      </c>
      <c r="G13" s="30">
        <f t="shared" si="2"/>
        <v>8961628</v>
      </c>
      <c r="M13" s="40"/>
    </row>
    <row r="14" spans="1:18" ht="72" x14ac:dyDescent="0.25">
      <c r="A14" s="27" t="s">
        <v>46</v>
      </c>
      <c r="B14" s="28">
        <v>1</v>
      </c>
      <c r="C14" s="27" t="s">
        <v>1</v>
      </c>
      <c r="D14" s="29">
        <f t="shared" ref="D14:D20" si="3">+D13</f>
        <v>8794531.6800000016</v>
      </c>
      <c r="E14" s="29">
        <f t="shared" si="0"/>
        <v>879453.16800000018</v>
      </c>
      <c r="F14" s="29">
        <f t="shared" si="1"/>
        <v>167096.10192000004</v>
      </c>
      <c r="G14" s="30">
        <f t="shared" si="2"/>
        <v>8961628</v>
      </c>
    </row>
    <row r="15" spans="1:18" ht="44.25" customHeight="1" x14ac:dyDescent="0.25">
      <c r="A15" s="27" t="s">
        <v>47</v>
      </c>
      <c r="B15" s="28">
        <v>1</v>
      </c>
      <c r="C15" s="27" t="s">
        <v>1</v>
      </c>
      <c r="D15" s="29">
        <f t="shared" si="3"/>
        <v>8794531.6800000016</v>
      </c>
      <c r="E15" s="29">
        <f t="shared" si="0"/>
        <v>879453.16800000018</v>
      </c>
      <c r="F15" s="29">
        <f>+E15*19%</f>
        <v>167096.10192000004</v>
      </c>
      <c r="G15" s="30">
        <f t="shared" si="2"/>
        <v>8961628</v>
      </c>
    </row>
    <row r="16" spans="1:18" ht="44.25" customHeight="1" x14ac:dyDescent="0.25">
      <c r="A16" s="27" t="s">
        <v>48</v>
      </c>
      <c r="B16" s="28">
        <v>1</v>
      </c>
      <c r="C16" s="27" t="s">
        <v>1</v>
      </c>
      <c r="D16" s="29">
        <f t="shared" si="3"/>
        <v>8794531.6800000016</v>
      </c>
      <c r="E16" s="29">
        <f t="shared" si="0"/>
        <v>879453.16800000018</v>
      </c>
      <c r="F16" s="29">
        <f>+E16*19%</f>
        <v>167096.10192000004</v>
      </c>
      <c r="G16" s="30">
        <f t="shared" si="2"/>
        <v>8961628</v>
      </c>
    </row>
    <row r="17" spans="1:18" ht="44.25" customHeight="1" x14ac:dyDescent="0.25">
      <c r="A17" s="27" t="s">
        <v>49</v>
      </c>
      <c r="B17" s="28">
        <v>1</v>
      </c>
      <c r="C17" s="27" t="s">
        <v>1</v>
      </c>
      <c r="D17" s="29">
        <f t="shared" si="3"/>
        <v>8794531.6800000016</v>
      </c>
      <c r="E17" s="29">
        <f t="shared" si="0"/>
        <v>879453.16800000018</v>
      </c>
      <c r="F17" s="29">
        <f>+E17*19%</f>
        <v>167096.10192000004</v>
      </c>
      <c r="G17" s="30">
        <f t="shared" si="2"/>
        <v>8961628</v>
      </c>
    </row>
    <row r="18" spans="1:18" ht="44.25" customHeight="1" x14ac:dyDescent="0.25">
      <c r="A18" s="27" t="s">
        <v>50</v>
      </c>
      <c r="B18" s="28">
        <v>1</v>
      </c>
      <c r="C18" s="27" t="s">
        <v>1</v>
      </c>
      <c r="D18" s="29">
        <f t="shared" si="3"/>
        <v>8794531.6800000016</v>
      </c>
      <c r="E18" s="29">
        <f t="shared" si="0"/>
        <v>879453.16800000018</v>
      </c>
      <c r="F18" s="29">
        <f>+E18*19%</f>
        <v>167096.10192000004</v>
      </c>
      <c r="G18" s="30">
        <f t="shared" si="2"/>
        <v>8961628</v>
      </c>
      <c r="R18" s="41"/>
    </row>
    <row r="19" spans="1:18" ht="44.25" customHeight="1" x14ac:dyDescent="0.25">
      <c r="A19" s="27" t="s">
        <v>51</v>
      </c>
      <c r="B19" s="28">
        <v>1</v>
      </c>
      <c r="C19" s="27" t="s">
        <v>1</v>
      </c>
      <c r="D19" s="29">
        <f t="shared" si="3"/>
        <v>8794531.6800000016</v>
      </c>
      <c r="E19" s="29">
        <f t="shared" si="0"/>
        <v>879453.16800000018</v>
      </c>
      <c r="F19" s="29">
        <f>+E19*19%</f>
        <v>167096.10192000004</v>
      </c>
      <c r="G19" s="30">
        <f t="shared" si="2"/>
        <v>8961628</v>
      </c>
    </row>
    <row r="20" spans="1:18" ht="44.25" customHeight="1" x14ac:dyDescent="0.25">
      <c r="A20" s="27" t="str">
        <f>+[3]MARZO!A22</f>
        <v>PALACIO DE JUSTICIA AV. Libertadores 2a -
106 Palacio de Justicia
SAN ANDRES</v>
      </c>
      <c r="B20" s="42">
        <f>+[3]MARZO!B22</f>
        <v>1</v>
      </c>
      <c r="C20" s="27" t="s">
        <v>1</v>
      </c>
      <c r="D20" s="29">
        <f t="shared" si="3"/>
        <v>8794531.6800000016</v>
      </c>
      <c r="E20" s="29">
        <f t="shared" si="0"/>
        <v>879453.16800000018</v>
      </c>
      <c r="F20" s="43"/>
      <c r="G20" s="30">
        <f t="shared" si="2"/>
        <v>8794532</v>
      </c>
    </row>
    <row r="21" spans="1:18" s="19" customFormat="1" ht="48" x14ac:dyDescent="0.25">
      <c r="A21" s="27" t="str">
        <f>+[3]MARZO!A24</f>
        <v>EDIFICIO LEDA
AV. Providencia No. 1-
48 Ed. Leda
SAN ANDRES</v>
      </c>
      <c r="B21" s="42">
        <f>+[3]MARZO!B24</f>
        <v>1</v>
      </c>
      <c r="C21" s="27" t="s">
        <v>1</v>
      </c>
      <c r="D21" s="29">
        <f>+D20</f>
        <v>8794531.6800000016</v>
      </c>
      <c r="E21" s="29">
        <f t="shared" si="0"/>
        <v>879453.16800000018</v>
      </c>
      <c r="F21" s="43"/>
      <c r="G21" s="30">
        <f>ROUND(D21+F21,0)</f>
        <v>8794532</v>
      </c>
    </row>
    <row r="22" spans="1:18" s="19" customFormat="1" x14ac:dyDescent="0.25">
      <c r="A22" s="21" t="s">
        <v>52</v>
      </c>
      <c r="B22" s="21">
        <f>SUM(B3:B21)</f>
        <v>19</v>
      </c>
      <c r="C22" s="21"/>
      <c r="D22" s="44">
        <f>SUM(D3:D21)</f>
        <v>124607842.78076011</v>
      </c>
      <c r="E22" s="44">
        <f>SUM(E3:E21)</f>
        <v>12460784.278076008</v>
      </c>
      <c r="F22" s="44">
        <f>SUM(F3:F21)</f>
        <v>2033356.8089944415</v>
      </c>
      <c r="G22" s="44">
        <f>SUM(G3:G21)</f>
        <v>126641201</v>
      </c>
      <c r="R22" s="45"/>
    </row>
    <row r="24" spans="1:18" s="19" customFormat="1" ht="33" customHeight="1" x14ac:dyDescent="0.25">
      <c r="A24" s="20"/>
      <c r="B24" s="46"/>
      <c r="C24" s="20"/>
      <c r="D24" s="20"/>
      <c r="E24" s="20"/>
      <c r="F24" s="20"/>
      <c r="G24" s="47"/>
      <c r="L24" s="19" t="s">
        <v>53</v>
      </c>
      <c r="M24" s="48">
        <f>+M2</f>
        <v>908526</v>
      </c>
    </row>
    <row r="25" spans="1:18" s="19" customFormat="1" ht="33" customHeight="1" x14ac:dyDescent="0.25">
      <c r="A25" s="20"/>
      <c r="B25" s="46"/>
      <c r="C25" s="20"/>
      <c r="D25" s="20"/>
      <c r="E25" s="20"/>
      <c r="F25" s="20"/>
      <c r="G25" s="47"/>
      <c r="L25" s="49" t="s">
        <v>54</v>
      </c>
      <c r="M25" s="19">
        <v>20</v>
      </c>
    </row>
    <row r="26" spans="1:18" s="19" customFormat="1" ht="33" customHeight="1" thickBot="1" x14ac:dyDescent="0.3">
      <c r="A26" s="20"/>
      <c r="B26" s="46"/>
      <c r="C26" s="20"/>
      <c r="D26" s="20"/>
      <c r="E26" s="20"/>
      <c r="F26" s="20"/>
      <c r="G26" s="47"/>
      <c r="L26" s="19" t="s">
        <v>55</v>
      </c>
      <c r="M26" s="19">
        <v>4</v>
      </c>
    </row>
    <row r="27" spans="1:18" s="19" customFormat="1" ht="33" customHeight="1" thickBot="1" x14ac:dyDescent="0.3">
      <c r="A27" s="20"/>
      <c r="B27" s="46"/>
      <c r="C27" s="20"/>
      <c r="D27" s="20"/>
      <c r="E27" s="20"/>
      <c r="F27" s="20"/>
      <c r="G27" s="20"/>
      <c r="L27" s="50" t="s">
        <v>31</v>
      </c>
      <c r="M27" s="51" t="s">
        <v>32</v>
      </c>
      <c r="N27" s="51" t="s">
        <v>33</v>
      </c>
      <c r="O27" s="51" t="s">
        <v>34</v>
      </c>
      <c r="P27" s="52" t="s">
        <v>35</v>
      </c>
    </row>
    <row r="28" spans="1:18" s="19" customFormat="1" ht="33" customHeight="1" x14ac:dyDescent="0.25">
      <c r="A28" s="20"/>
      <c r="B28" s="46"/>
      <c r="C28" s="20"/>
      <c r="D28" s="20"/>
      <c r="E28" s="20"/>
      <c r="F28" s="20"/>
      <c r="G28" s="20"/>
      <c r="L28" s="53" t="s">
        <v>37</v>
      </c>
      <c r="M28" s="54">
        <f>(M24*8.8)/30*30</f>
        <v>7995028.8000000007</v>
      </c>
      <c r="N28" s="54">
        <f>+M28*10%</f>
        <v>799502.88000000012</v>
      </c>
      <c r="O28" s="55">
        <f>+((M28+N28)*10%)*19%</f>
        <v>167096.10192000004</v>
      </c>
      <c r="P28" s="56">
        <f>ROUND(M28+N28+O28,0)</f>
        <v>8961628</v>
      </c>
    </row>
    <row r="29" spans="1:18" s="19" customFormat="1" ht="33" customHeight="1" x14ac:dyDescent="0.25">
      <c r="A29" s="20"/>
      <c r="B29" s="46"/>
      <c r="C29" s="20"/>
      <c r="D29" s="20"/>
      <c r="E29" s="20"/>
      <c r="F29" s="20"/>
      <c r="G29" s="20"/>
      <c r="L29" s="57" t="s">
        <v>39</v>
      </c>
      <c r="M29" s="58">
        <f>+(((((M24*8.8)*55.97%)/30)*M25)/15)*12</f>
        <v>2386569.3969919998</v>
      </c>
      <c r="N29" s="58">
        <f>+M29*8%</f>
        <v>190925.55175935998</v>
      </c>
      <c r="O29" s="55">
        <f>+((M29+N29)*10%)*19%</f>
        <v>48972.404026275835</v>
      </c>
      <c r="P29" s="59">
        <f>M29+N29+O29</f>
        <v>2626467.3527776357</v>
      </c>
    </row>
    <row r="30" spans="1:18" s="19" customFormat="1" ht="33" customHeight="1" x14ac:dyDescent="0.25">
      <c r="A30" s="20"/>
      <c r="B30" s="46"/>
      <c r="C30" s="20"/>
      <c r="D30" s="20"/>
      <c r="E30" s="20"/>
      <c r="F30" s="20"/>
      <c r="G30" s="20"/>
      <c r="L30" s="57" t="s">
        <v>41</v>
      </c>
      <c r="M30" s="58">
        <f>+(((((M24*8.8)*29.850667%)/30)*M26)/8)*6</f>
        <v>238656.94236420968</v>
      </c>
      <c r="N30" s="58">
        <f>+M30*8%</f>
        <v>19092.555389136774</v>
      </c>
      <c r="O30" s="55">
        <f>+((M30+N30)*10%)*19%</f>
        <v>4897.2404573135827</v>
      </c>
      <c r="P30" s="59">
        <f>ROUND(M30+N30+O30,0)</f>
        <v>262647</v>
      </c>
    </row>
    <row r="31" spans="1:18" s="19" customFormat="1" ht="33" customHeight="1" x14ac:dyDescent="0.25">
      <c r="A31" s="20"/>
      <c r="B31" s="46"/>
      <c r="C31" s="20"/>
      <c r="D31" s="20"/>
      <c r="E31" s="20"/>
      <c r="F31" s="20"/>
      <c r="G31" s="20"/>
      <c r="L31" s="60" t="s">
        <v>43</v>
      </c>
      <c r="M31" s="58">
        <f>+M30+M29</f>
        <v>2625226.3393562096</v>
      </c>
      <c r="N31" s="58">
        <f>+N30+N29</f>
        <v>210018.10714849675</v>
      </c>
      <c r="O31" s="58">
        <f>+O30+O29</f>
        <v>53869.644483589422</v>
      </c>
      <c r="P31" s="61">
        <f>++O31+N31+M31</f>
        <v>2889114.0909882956</v>
      </c>
    </row>
    <row r="32" spans="1:18" s="19" customFormat="1" ht="33" customHeight="1" x14ac:dyDescent="0.25">
      <c r="A32" s="20"/>
      <c r="B32" s="46"/>
      <c r="C32" s="20"/>
      <c r="D32" s="20"/>
      <c r="E32" s="20"/>
      <c r="F32" s="20"/>
      <c r="G32" s="20"/>
    </row>
    <row r="33" spans="15:15" x14ac:dyDescent="0.25">
      <c r="O33" s="58">
        <f>+M28*0.1</f>
        <v>799502.88000000012</v>
      </c>
    </row>
    <row r="34" spans="15:15" x14ac:dyDescent="0.25">
      <c r="O34" s="58">
        <f>+M28-O33</f>
        <v>7195525.9200000009</v>
      </c>
    </row>
    <row r="35" spans="15:15" x14ac:dyDescent="0.25">
      <c r="O35" s="58">
        <f>+O34*1.1</f>
        <v>7915078.512000002</v>
      </c>
    </row>
    <row r="36" spans="15:15" x14ac:dyDescent="0.25">
      <c r="O36" s="58">
        <f>+M29*0.1</f>
        <v>238656.93969919998</v>
      </c>
    </row>
    <row r="37" spans="15:15" x14ac:dyDescent="0.25">
      <c r="O37" s="58">
        <f>+M29-O36</f>
        <v>2147912.4572927998</v>
      </c>
    </row>
    <row r="38" spans="15:15" x14ac:dyDescent="0.25">
      <c r="O38" s="58">
        <f>+O37*1.08</f>
        <v>2319745.4538762239</v>
      </c>
    </row>
    <row r="39" spans="15:15" x14ac:dyDescent="0.25">
      <c r="O39" s="58"/>
    </row>
    <row r="42" spans="15:15" x14ac:dyDescent="0.25">
      <c r="O42" s="35">
        <f>+M29+M30</f>
        <v>2625226.3393562096</v>
      </c>
    </row>
    <row r="43" spans="15:15" x14ac:dyDescent="0.25">
      <c r="O43" s="19">
        <f>+O42*0.1</f>
        <v>262522.63393562095</v>
      </c>
    </row>
    <row r="44" spans="15:15" x14ac:dyDescent="0.25">
      <c r="O44" s="35">
        <f>+O42-O43</f>
        <v>2362703.7054205886</v>
      </c>
    </row>
    <row r="45" spans="15:15" x14ac:dyDescent="0.25">
      <c r="O45" s="19">
        <f>+O44*1.08</f>
        <v>2551720.0018542358</v>
      </c>
    </row>
  </sheetData>
  <sheetProtection algorithmName="SHA-512" hashValue="bTsTcRPQITsKNPzNb5Fd/E7kLE7W4H6yHuxjr8HZuXuSt/nLOIq7xge2Yfi87SDIS9SoIquAQmfWNKRiUy5Btw==" saltValue="8H0PJi0gnxV/tSf4htAi9A==" spinCount="100000" sheet="1" objects="1" scenarios="1"/>
  <mergeCells count="1">
    <mergeCell ref="A1:G1"/>
  </mergeCells>
  <pageMargins left="0.23622047244094491" right="0.23622047244094491" top="0.74803149606299213" bottom="0.74803149606299213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COAUTONOMA</vt:lpstr>
      <vt:lpstr>ESTUDIO</vt:lpstr>
      <vt:lpstr>ATLAS</vt:lpstr>
      <vt:lpstr>SMLVM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Marlys</cp:lastModifiedBy>
  <dcterms:created xsi:type="dcterms:W3CDTF">2021-07-22T22:27:56Z</dcterms:created>
  <dcterms:modified xsi:type="dcterms:W3CDTF">2021-08-27T21:44:02Z</dcterms:modified>
</cp:coreProperties>
</file>