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20" windowWidth="19440" windowHeight="11160" activeTab="1"/>
  </bookViews>
  <sheets>
    <sheet name="ENCUESTA" sheetId="1" r:id="rId1"/>
    <sheet name="% INDIVIDUAL"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0" i="1" l="1"/>
  <c r="B90" i="1"/>
  <c r="C89" i="1"/>
  <c r="B89" i="1"/>
  <c r="C88" i="1"/>
  <c r="B88" i="1"/>
  <c r="C87" i="1"/>
  <c r="C86" i="1"/>
  <c r="C61" i="1"/>
  <c r="B61" i="1"/>
  <c r="C60" i="1"/>
  <c r="B60" i="1"/>
  <c r="C59" i="1"/>
  <c r="B59" i="1"/>
  <c r="C58" i="1"/>
  <c r="B58" i="1"/>
  <c r="C57" i="1"/>
  <c r="B57" i="1"/>
  <c r="C77" i="2"/>
  <c r="D77" i="2" s="1"/>
  <c r="C76" i="2"/>
  <c r="C75" i="2"/>
  <c r="C74" i="2"/>
  <c r="B78" i="2"/>
  <c r="C78" i="2"/>
  <c r="B77" i="2"/>
  <c r="B76" i="2"/>
  <c r="C50" i="2"/>
  <c r="C51" i="2"/>
  <c r="C49" i="2"/>
  <c r="C48" i="2"/>
  <c r="C47" i="2"/>
  <c r="B49" i="2"/>
  <c r="B50" i="2"/>
  <c r="B51" i="2"/>
  <c r="B47" i="2"/>
  <c r="D47" i="2" s="1"/>
  <c r="B54" i="2" s="1"/>
  <c r="B48" i="2"/>
  <c r="C68" i="1"/>
  <c r="B68" i="1"/>
  <c r="B58" i="2"/>
  <c r="C58" i="2"/>
  <c r="B87" i="1"/>
  <c r="B86" i="1"/>
  <c r="C79" i="1"/>
  <c r="B79" i="1"/>
  <c r="C78" i="1"/>
  <c r="B78" i="1"/>
  <c r="C77" i="1"/>
  <c r="B77" i="1"/>
  <c r="C76" i="1"/>
  <c r="B76" i="1"/>
  <c r="C75" i="1"/>
  <c r="B75" i="1"/>
  <c r="B67" i="2"/>
  <c r="C50" i="1"/>
  <c r="B50" i="1"/>
  <c r="C49" i="1"/>
  <c r="B49" i="1"/>
  <c r="C48" i="1"/>
  <c r="B48" i="1"/>
  <c r="C41" i="1"/>
  <c r="B41" i="1"/>
  <c r="B40" i="1"/>
  <c r="C40" i="1"/>
  <c r="C39" i="1"/>
  <c r="B39" i="1"/>
  <c r="C38" i="1"/>
  <c r="B38" i="1"/>
  <c r="C37" i="1"/>
  <c r="B37" i="1"/>
  <c r="C36" i="1"/>
  <c r="B36" i="1"/>
  <c r="C35" i="1"/>
  <c r="B35" i="1"/>
  <c r="C28" i="1"/>
  <c r="B28" i="1"/>
  <c r="C27" i="1"/>
  <c r="B27" i="1"/>
  <c r="B26" i="1"/>
  <c r="G16" i="1"/>
  <c r="E16" i="1"/>
  <c r="D16" i="1"/>
  <c r="C16" i="1"/>
  <c r="B16" i="1"/>
  <c r="F10" i="1"/>
  <c r="C10" i="1"/>
  <c r="D10" i="1"/>
  <c r="E10" i="1"/>
  <c r="B10" i="1"/>
  <c r="C4" i="1"/>
  <c r="B4" i="1"/>
  <c r="H4" i="1" s="1"/>
  <c r="B5" i="1" s="1"/>
  <c r="F4" i="1"/>
  <c r="E4" i="1"/>
  <c r="D4" i="1"/>
  <c r="C40" i="2"/>
  <c r="B40" i="2"/>
  <c r="B39" i="2"/>
  <c r="C39" i="2"/>
  <c r="C38" i="2"/>
  <c r="B38" i="2"/>
  <c r="C13" i="2"/>
  <c r="D13" i="2"/>
  <c r="F3" i="2"/>
  <c r="C3" i="2"/>
  <c r="H3" i="2" s="1"/>
  <c r="D3" i="2"/>
  <c r="C68" i="2"/>
  <c r="B68" i="2"/>
  <c r="B66" i="2"/>
  <c r="C65" i="2"/>
  <c r="B65" i="2"/>
  <c r="B64" i="2"/>
  <c r="C64" i="2"/>
  <c r="B75" i="2"/>
  <c r="B31" i="2"/>
  <c r="C31" i="2"/>
  <c r="B30" i="2"/>
  <c r="C30" i="2"/>
  <c r="B32" i="2"/>
  <c r="B29" i="2"/>
  <c r="C29" i="2"/>
  <c r="B28" i="2"/>
  <c r="C28" i="2"/>
  <c r="B27" i="2"/>
  <c r="C27" i="2"/>
  <c r="B26" i="2"/>
  <c r="C26" i="2"/>
  <c r="C20" i="2"/>
  <c r="B20" i="2"/>
  <c r="C19" i="2"/>
  <c r="B19" i="2"/>
  <c r="B18" i="2"/>
  <c r="B21" i="2" s="1"/>
  <c r="C18" i="2"/>
  <c r="B13" i="2"/>
  <c r="E13" i="2"/>
  <c r="B8" i="2"/>
  <c r="E8" i="2"/>
  <c r="D8" i="2"/>
  <c r="C8" i="2"/>
  <c r="B3" i="2"/>
  <c r="E3" i="2"/>
  <c r="D74" i="2"/>
  <c r="C67" i="2"/>
  <c r="C66" i="2"/>
  <c r="G13" i="2"/>
  <c r="C5" i="1" l="1"/>
  <c r="C4" i="2"/>
  <c r="D78" i="2"/>
  <c r="G8" i="2"/>
  <c r="H8" i="2" s="1"/>
  <c r="D9" i="2" l="1"/>
  <c r="C9" i="2"/>
  <c r="H13" i="2"/>
  <c r="E9" i="2"/>
  <c r="G9" i="2"/>
  <c r="B9" i="2"/>
  <c r="F9" i="2"/>
  <c r="B14" i="2" l="1"/>
  <c r="E14" i="2"/>
  <c r="D14" i="2"/>
  <c r="G4" i="2"/>
  <c r="D4" i="2"/>
  <c r="E4" i="2"/>
  <c r="F4" i="2"/>
  <c r="F14" i="2"/>
  <c r="G14" i="2"/>
  <c r="C14" i="2"/>
  <c r="H9" i="2"/>
  <c r="B59" i="2"/>
  <c r="D51" i="2"/>
  <c r="F51" i="2" s="1"/>
  <c r="H14" i="2" l="1"/>
  <c r="D18" i="2"/>
  <c r="E18" i="2" s="1"/>
  <c r="D28" i="2"/>
  <c r="F28" i="2" s="1"/>
  <c r="D32" i="2"/>
  <c r="E32" i="2" s="1"/>
  <c r="D39" i="2"/>
  <c r="F39" i="2" s="1"/>
  <c r="C21" i="2"/>
  <c r="B69" i="2"/>
  <c r="E74" i="2"/>
  <c r="D19" i="2"/>
  <c r="E19" i="2" s="1"/>
  <c r="D27" i="2"/>
  <c r="F27" i="2" s="1"/>
  <c r="E28" i="2"/>
  <c r="D31" i="2"/>
  <c r="E31" i="2" s="1"/>
  <c r="D40" i="2"/>
  <c r="F40" i="2" s="1"/>
  <c r="F47" i="2"/>
  <c r="D50" i="2"/>
  <c r="F50" i="2" s="1"/>
  <c r="D66" i="2"/>
  <c r="E66" i="2" s="1"/>
  <c r="E51" i="2"/>
  <c r="D75" i="2"/>
  <c r="F75" i="2" s="1"/>
  <c r="D49" i="2"/>
  <c r="E49" i="2" s="1"/>
  <c r="C59" i="2"/>
  <c r="E78" i="2"/>
  <c r="D26" i="2"/>
  <c r="E26" i="2" s="1"/>
  <c r="D29" i="2"/>
  <c r="F29" i="2" s="1"/>
  <c r="C41" i="2"/>
  <c r="D48" i="2"/>
  <c r="F48" i="2" s="1"/>
  <c r="D64" i="2"/>
  <c r="D67" i="2"/>
  <c r="F67" i="2" s="1"/>
  <c r="C79" i="2"/>
  <c r="C69" i="2"/>
  <c r="D20" i="2"/>
  <c r="E20" i="2" s="1"/>
  <c r="C33" i="2"/>
  <c r="D30" i="2"/>
  <c r="E30" i="2" s="1"/>
  <c r="C52" i="2"/>
  <c r="D68" i="2"/>
  <c r="E68" i="2" s="1"/>
  <c r="D76" i="2"/>
  <c r="F76" i="2" s="1"/>
  <c r="B79" i="2"/>
  <c r="B41" i="2"/>
  <c r="D58" i="2"/>
  <c r="D59" i="2" s="1"/>
  <c r="D65" i="2"/>
  <c r="E65" i="2" s="1"/>
  <c r="B52" i="2"/>
  <c r="B33" i="2"/>
  <c r="D38" i="2"/>
  <c r="E38" i="2" l="1"/>
  <c r="B43" i="2"/>
  <c r="C43" i="2"/>
  <c r="D52" i="2"/>
  <c r="B53" i="2" s="1"/>
  <c r="E47" i="2"/>
  <c r="F30" i="2"/>
  <c r="F20" i="2"/>
  <c r="E39" i="2"/>
  <c r="F32" i="2"/>
  <c r="F18" i="2"/>
  <c r="F31" i="2"/>
  <c r="F66" i="2"/>
  <c r="D21" i="2"/>
  <c r="C22" i="2" s="1"/>
  <c r="E48" i="2"/>
  <c r="F19" i="2"/>
  <c r="C54" i="2"/>
  <c r="E27" i="2"/>
  <c r="E50" i="2"/>
  <c r="E76" i="2"/>
  <c r="C60" i="2"/>
  <c r="E67" i="2"/>
  <c r="D69" i="2"/>
  <c r="C70" i="2" s="1"/>
  <c r="B60" i="2"/>
  <c r="E58" i="2"/>
  <c r="F78" i="2"/>
  <c r="E40" i="2"/>
  <c r="F38" i="2"/>
  <c r="F49" i="2"/>
  <c r="F68" i="2"/>
  <c r="E75" i="2"/>
  <c r="F74" i="2"/>
  <c r="F77" i="2"/>
  <c r="E77" i="2"/>
  <c r="F65" i="2"/>
  <c r="F26" i="2"/>
  <c r="F58" i="2"/>
  <c r="F64" i="2"/>
  <c r="E64" i="2"/>
  <c r="E29" i="2"/>
  <c r="D79" i="2"/>
  <c r="C80" i="2" s="1"/>
  <c r="D33" i="2"/>
  <c r="B34" i="2" s="1"/>
  <c r="D41" i="2"/>
  <c r="B42" i="2" s="1"/>
  <c r="C53" i="2" l="1"/>
  <c r="D60" i="2"/>
  <c r="E21" i="2"/>
  <c r="F21" i="2"/>
  <c r="B70" i="2"/>
  <c r="D70" i="2" s="1"/>
  <c r="B80" i="2"/>
  <c r="D80" i="2" s="1"/>
  <c r="B22" i="2"/>
  <c r="D22" i="2" s="1"/>
  <c r="E22" i="2" s="1"/>
  <c r="C42" i="2"/>
  <c r="D42" i="2" s="1"/>
  <c r="C34" i="2"/>
  <c r="D34" i="2" s="1"/>
  <c r="D53" i="2" l="1"/>
  <c r="F22" i="2"/>
  <c r="C26" i="1"/>
  <c r="B42" i="1" l="1"/>
  <c r="G10" i="1" l="1"/>
  <c r="C51" i="1" l="1"/>
  <c r="B91" i="1" l="1"/>
  <c r="C69" i="1"/>
  <c r="B51" i="1"/>
  <c r="D41" i="1"/>
  <c r="D40" i="1"/>
  <c r="D36" i="1"/>
  <c r="D28" i="1"/>
  <c r="D27" i="1"/>
  <c r="D39" i="1"/>
  <c r="D26" i="1"/>
  <c r="C29" i="1"/>
  <c r="D88" i="1" l="1"/>
  <c r="D77" i="1"/>
  <c r="D61" i="1"/>
  <c r="D49" i="1"/>
  <c r="D37" i="1"/>
  <c r="C91" i="1"/>
  <c r="D59" i="1"/>
  <c r="D68" i="1"/>
  <c r="D76" i="1"/>
  <c r="D86" i="1"/>
  <c r="D75" i="1"/>
  <c r="D58" i="1"/>
  <c r="D35" i="1"/>
  <c r="D79" i="1"/>
  <c r="D38" i="1"/>
  <c r="C42" i="1"/>
  <c r="D90" i="1"/>
  <c r="D89" i="1"/>
  <c r="D87" i="1"/>
  <c r="D78" i="1"/>
  <c r="D60" i="1"/>
  <c r="D48" i="1"/>
  <c r="D50" i="1"/>
  <c r="B29" i="1"/>
  <c r="D57" i="1"/>
  <c r="B69" i="1"/>
  <c r="C62" i="1"/>
  <c r="D69" i="1" l="1"/>
  <c r="C70" i="1" s="1"/>
  <c r="C53" i="1"/>
  <c r="B53" i="1"/>
  <c r="C64" i="1"/>
  <c r="B64" i="1"/>
  <c r="D29" i="1"/>
  <c r="B30" i="1" s="1"/>
  <c r="D42" i="1"/>
  <c r="B43" i="1" s="1"/>
  <c r="D51" i="1"/>
  <c r="H10" i="1"/>
  <c r="H16" i="1"/>
  <c r="C17" i="1" s="1"/>
  <c r="B62" i="1"/>
  <c r="D5" i="1"/>
  <c r="C80" i="1"/>
  <c r="B80" i="1"/>
  <c r="D11" i="1" l="1"/>
  <c r="C11" i="1"/>
  <c r="B70" i="1"/>
  <c r="D70" i="1" s="1"/>
  <c r="C52" i="1"/>
  <c r="B52" i="1"/>
  <c r="G17" i="1"/>
  <c r="F17" i="1"/>
  <c r="B17" i="1"/>
  <c r="E17" i="1"/>
  <c r="D17" i="1"/>
  <c r="E11" i="1"/>
  <c r="G11" i="1"/>
  <c r="F11" i="1"/>
  <c r="B11" i="1"/>
  <c r="G5" i="1"/>
  <c r="E5" i="1"/>
  <c r="F5" i="1"/>
  <c r="C43" i="1"/>
  <c r="D91" i="1"/>
  <c r="C92" i="1" s="1"/>
  <c r="D80" i="1"/>
  <c r="B81" i="1" s="1"/>
  <c r="D62" i="1"/>
  <c r="C63" i="1" s="1"/>
  <c r="B63" i="1" l="1"/>
  <c r="D63" i="1" s="1"/>
  <c r="D52" i="1"/>
  <c r="D43" i="1"/>
  <c r="B92" i="1"/>
  <c r="D92" i="1" s="1"/>
  <c r="C81" i="1"/>
  <c r="D81" i="1" s="1"/>
  <c r="C30" i="1"/>
  <c r="H5" i="1"/>
  <c r="D30" i="1" l="1"/>
  <c r="H11" i="1"/>
  <c r="H17" i="1"/>
  <c r="H4" i="2"/>
</calcChain>
</file>

<file path=xl/sharedStrings.xml><?xml version="1.0" encoding="utf-8"?>
<sst xmlns="http://schemas.openxmlformats.org/spreadsheetml/2006/main" count="239" uniqueCount="58">
  <si>
    <t>COMPONENTE 1: NECESIDADES BÁSICAS</t>
  </si>
  <si>
    <t>DESCRIPCIÓN</t>
  </si>
  <si>
    <t>COMPONENTE 2: NECESIDADES TECNOLÓGICAS</t>
  </si>
  <si>
    <t>Qué tan satisfecho se encuentra con la utilidad que le presta el portal web de la Rama Judicial</t>
  </si>
  <si>
    <t>COMPONENTE 7: ADMINISTRACIÓN DE LA CARRERA JUDICIAL</t>
  </si>
  <si>
    <t>No. Encuestas</t>
  </si>
  <si>
    <t>TOTALES</t>
  </si>
  <si>
    <t>COMPONENTE 9: SALUD OCUPACIONAL</t>
  </si>
  <si>
    <t>¿Sabe usted cómo se reporta un accidente de trabajo?</t>
  </si>
  <si>
    <t>¿Sabe usted cómo es el procedimiento  para reportar una enfermedad laboral?</t>
  </si>
  <si>
    <t>¿En algún momento ha sentido usted Estrés laboral?</t>
  </si>
  <si>
    <t>¿Conoce usted conductas de acoso laboral?</t>
  </si>
  <si>
    <t>¿Sabe usted que es un incidente y un accidente?</t>
  </si>
  <si>
    <t>¿Conoce usted el ordenamiento  jurídico que reglamenta la perspectiva de género?</t>
  </si>
  <si>
    <t>¿Ha proferido decisiones con perspectiva de género?</t>
  </si>
  <si>
    <t>¿Conoce  usted mecanismos de prevención, protección y erradicacion de violencia de género?</t>
  </si>
  <si>
    <t>¿Le gustaría vincularse como formador o facilitador en temas de perspectiva de género?</t>
  </si>
  <si>
    <t>¿Conoce usted cómo está integrado  el Comité Seccional de Género?</t>
  </si>
  <si>
    <t>PORCENTAJE</t>
  </si>
  <si>
    <t>MUY SATISFECHO</t>
  </si>
  <si>
    <t>SATISFECHO</t>
  </si>
  <si>
    <t>DEFICIENTE</t>
  </si>
  <si>
    <t>MALO</t>
  </si>
  <si>
    <t>MUY MALO</t>
  </si>
  <si>
    <t>NO SABE NO RESPONDE</t>
  </si>
  <si>
    <t>PORCENTAJES</t>
  </si>
  <si>
    <t>COMPONENTE 10: PERSPECTIVA DE GÉNERO</t>
  </si>
  <si>
    <t>¿Cómo califica usted el servicio que presta la Dirección Seccional de Administración Judicial de Ibagué en la entrega de útiles de oficina- Papelería y tóner?</t>
  </si>
  <si>
    <t>¿Cómo califica usted el servicio que presta el Área de Gestión Tecnológica (Equipos de computo, impresoras, dispositivos de almacenamiento, Scanner, Grabadoras y Salas de Audiencia?</t>
  </si>
  <si>
    <t>RESPONDER LAS SIGUIENTES PREGUNTAS (SI) O (NO)</t>
  </si>
  <si>
    <t>SI</t>
  </si>
  <si>
    <t>NO</t>
  </si>
  <si>
    <t>¿Su oficina cuenta con conexión a internet?</t>
  </si>
  <si>
    <t>¿Utiliza usted el correo institucional?</t>
  </si>
  <si>
    <t>¿Consulta usted la páginaweb de la Rama Judicial Link Consejo Seccional de la Judicatura del Tolima: http//www.ramajudicial.gov.co?</t>
  </si>
  <si>
    <t>¿su oficina cuenta con iluminación suficiente?</t>
  </si>
  <si>
    <t>¿Su oficina cuenta con un espacio suficiente para el desempeño de sus funciones?</t>
  </si>
  <si>
    <t>¿Su oficina cuenta con la ventilación suficiente para el desempeño de sus funciones?</t>
  </si>
  <si>
    <t>¿Su oficina cuenta con las condiciones de seguridad física para el desempeño de sus funciones?</t>
  </si>
  <si>
    <t>¿su oficina cuenta con las condiciones de ruido exigidas para el desempeño de sus funciones?</t>
  </si>
  <si>
    <t>¿Considera que el mobiliario (Escritorio, silla, puesto de trabajo) es adecuado para el desempeño de sus funciones?</t>
  </si>
  <si>
    <t>¿Contibuye usted en el Despacho al uso racional del papel, tóner, Agua, Energía?</t>
  </si>
  <si>
    <t>¿Está usted satisfecho con la oportunidad en el pago de la nómina y demás prestaciones sociales?</t>
  </si>
  <si>
    <t>COMPONENTE 5: SOBRE INFRAESTRUCTURA FÍSICA</t>
  </si>
  <si>
    <t>COMPONENTE 6: TALENTO HUMANO</t>
  </si>
  <si>
    <t>¿Está usted satisfecho con las actividades desarrolladas por la ARL Positiva?</t>
  </si>
  <si>
    <t>¿Está usted satisfecho con las actividades de Bienestar Social?</t>
  </si>
  <si>
    <t>¿Está usted satisfecho  con la forma que el Consejo Seccional de la Judicatura del Tolima del Tolima Administra la Carrera Judicial (Traslados, permisos de estudio, permisos de residencia, lista de elegibles, entre otros?</t>
  </si>
  <si>
    <t>¿Conoce usted el Acuerdo PSAA16-10618 de 2016 por medio del cual se reglamenta la calificación integral de servicios de los servidores judiciales?</t>
  </si>
  <si>
    <t>¿Conoce usted el Plan Nacional de Formación de la Rama Judicial?</t>
  </si>
  <si>
    <t>¿Está usted satisfecho con los temas desarrollados en las jornadas de formación y capacitación que ofrece la Escuela Judicial Rodrigo Lara Bonilla?</t>
  </si>
  <si>
    <t>¿Está usted satisfecho con las capacitaciones a través de video conferencia?</t>
  </si>
  <si>
    <t>¿Conoce usted el Nuevo Plan de Desarrollo 2018-2022 "Pacto por Colombia, Pacto por la Equidad" y el Plan Sectorial de desarrollo de la Rama Judicial?</t>
  </si>
  <si>
    <t>COMPONENTE 4: NECESIDADES INFORMÁTICAS</t>
  </si>
  <si>
    <t>MANJEO DE LA CARRERA JUDICIAL</t>
  </si>
  <si>
    <t>COMPONENTE 3: SISTEMAS DE INFORMACIÓN</t>
  </si>
  <si>
    <t>COMPONENTE 8: PLAN SECTORIALL DE DESARROLLO</t>
  </si>
  <si>
    <t>COMPONENTE 8: PLAN SECTORIAL DE DESARROLLO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</si>
</sst>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4" x14ac:knownFonts="1">
    <font>
      <sz val="11"/>
      <color theme="1"/>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sz val="11"/>
      <color theme="1"/>
      <name val="Calibri"/>
      <family val="2"/>
      <scheme val="minor"/>
    </font>
    <font>
      <b/>
      <sz val="14"/>
      <color theme="0"/>
      <name val="Calibri"/>
      <family val="2"/>
      <scheme val="minor"/>
    </font>
    <font>
      <b/>
      <sz val="12"/>
      <color theme="0"/>
      <name val="Calibri"/>
      <family val="2"/>
      <scheme val="minor"/>
    </font>
    <font>
      <sz val="12"/>
      <color theme="1"/>
      <name val="Calibri"/>
      <family val="2"/>
      <scheme val="minor"/>
    </font>
    <font>
      <b/>
      <sz val="11"/>
      <color theme="1"/>
      <name val="Arial"/>
      <family val="2"/>
    </font>
    <font>
      <sz val="11"/>
      <color theme="1"/>
      <name val="Arial"/>
      <family val="2"/>
    </font>
    <font>
      <b/>
      <sz val="9"/>
      <color theme="1"/>
      <name val="Arial"/>
      <family val="2"/>
    </font>
    <font>
      <sz val="14"/>
      <color theme="1"/>
      <name val="Arial"/>
      <family val="2"/>
    </font>
    <font>
      <b/>
      <sz val="14"/>
      <color theme="1"/>
      <name val="Arial"/>
      <family val="2"/>
    </font>
  </fonts>
  <fills count="13">
    <fill>
      <patternFill patternType="none"/>
    </fill>
    <fill>
      <patternFill patternType="gray125"/>
    </fill>
    <fill>
      <patternFill patternType="solid">
        <fgColor theme="6"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6"/>
        <bgColor indexed="64"/>
      </patternFill>
    </fill>
    <fill>
      <patternFill patternType="solid">
        <fgColor theme="0"/>
        <bgColor indexed="64"/>
      </patternFill>
    </fill>
    <fill>
      <patternFill patternType="solid">
        <fgColor theme="6" tint="0.59999389629810485"/>
        <bgColor indexed="64"/>
      </patternFill>
    </fill>
    <fill>
      <patternFill patternType="solid">
        <fgColor rgb="FF00B0F0"/>
        <bgColor indexed="64"/>
      </patternFill>
    </fill>
    <fill>
      <patternFill patternType="solid">
        <fgColor rgb="FF92D050"/>
        <bgColor indexed="64"/>
      </patternFill>
    </fill>
    <fill>
      <patternFill patternType="solid">
        <fgColor rgb="FF00B050"/>
        <bgColor indexed="64"/>
      </patternFill>
    </fill>
    <fill>
      <patternFill patternType="solid">
        <fgColor theme="8" tint="0.39997558519241921"/>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103">
    <xf numFmtId="0" fontId="0" fillId="0" borderId="0" xfId="0"/>
    <xf numFmtId="0" fontId="1" fillId="6" borderId="0" xfId="0" applyFont="1" applyFill="1"/>
    <xf numFmtId="0" fontId="0" fillId="6" borderId="0" xfId="0" applyFill="1"/>
    <xf numFmtId="0" fontId="0" fillId="6" borderId="1" xfId="0" applyFill="1" applyBorder="1"/>
    <xf numFmtId="0" fontId="0" fillId="6" borderId="1" xfId="0" applyFill="1" applyBorder="1" applyAlignment="1">
      <alignment vertical="top" wrapText="1"/>
    </xf>
    <xf numFmtId="0" fontId="0" fillId="6" borderId="0" xfId="0" applyFill="1" applyBorder="1"/>
    <xf numFmtId="0" fontId="3" fillId="6" borderId="0" xfId="0" applyFont="1" applyFill="1" applyBorder="1" applyAlignment="1">
      <alignment horizontal="center" vertical="center"/>
    </xf>
    <xf numFmtId="0" fontId="0" fillId="6" borderId="0" xfId="0" applyFill="1" applyBorder="1" applyAlignment="1">
      <alignment wrapText="1"/>
    </xf>
    <xf numFmtId="0" fontId="1"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applyAlignment="1">
      <alignment horizontal="center"/>
    </xf>
    <xf numFmtId="0" fontId="4" fillId="6" borderId="0" xfId="0" applyFont="1" applyFill="1" applyBorder="1" applyAlignment="1">
      <alignment horizontal="center" vertical="center"/>
    </xf>
    <xf numFmtId="0" fontId="4" fillId="6" borderId="0" xfId="0" applyFont="1" applyFill="1" applyBorder="1" applyAlignment="1">
      <alignment horizontal="center"/>
    </xf>
    <xf numFmtId="10" fontId="0" fillId="6" borderId="0" xfId="0" applyNumberFormat="1" applyFill="1"/>
    <xf numFmtId="164" fontId="0" fillId="6" borderId="0" xfId="0" applyNumberFormat="1" applyFill="1"/>
    <xf numFmtId="0" fontId="4" fillId="7" borderId="1" xfId="0" applyFont="1" applyFill="1" applyBorder="1" applyAlignment="1">
      <alignment horizontal="center" vertical="center"/>
    </xf>
    <xf numFmtId="0" fontId="4" fillId="7" borderId="1" xfId="0" applyFont="1" applyFill="1" applyBorder="1" applyAlignment="1">
      <alignment horizontal="center"/>
    </xf>
    <xf numFmtId="10" fontId="4" fillId="6" borderId="0" xfId="1" applyNumberFormat="1" applyFont="1" applyFill="1" applyBorder="1" applyAlignment="1">
      <alignment horizontal="center" vertical="center"/>
    </xf>
    <xf numFmtId="164" fontId="4" fillId="6" borderId="0" xfId="0" applyNumberFormat="1" applyFont="1" applyFill="1" applyBorder="1" applyAlignment="1">
      <alignment horizontal="center" vertical="center"/>
    </xf>
    <xf numFmtId="0" fontId="2" fillId="6" borderId="0" xfId="0" applyFont="1" applyFill="1" applyBorder="1" applyAlignment="1">
      <alignment horizontal="center"/>
    </xf>
    <xf numFmtId="0" fontId="1" fillId="6" borderId="0" xfId="0" applyFont="1" applyFill="1" applyBorder="1"/>
    <xf numFmtId="9" fontId="4" fillId="6" borderId="0" xfId="1" applyNumberFormat="1" applyFont="1" applyFill="1" applyBorder="1" applyAlignment="1">
      <alignment horizontal="center" vertical="center"/>
    </xf>
    <xf numFmtId="0" fontId="0" fillId="6" borderId="0" xfId="0" applyFill="1" applyAlignment="1">
      <alignment horizontal="left" vertical="top"/>
    </xf>
    <xf numFmtId="0" fontId="0" fillId="6" borderId="1" xfId="0" applyFill="1" applyBorder="1" applyAlignment="1">
      <alignment horizontal="left" vertical="top"/>
    </xf>
    <xf numFmtId="0" fontId="1" fillId="6" borderId="0" xfId="0" applyFont="1" applyFill="1" applyBorder="1" applyAlignment="1">
      <alignment wrapText="1"/>
    </xf>
    <xf numFmtId="0" fontId="4" fillId="7" borderId="8" xfId="0" applyFont="1" applyFill="1" applyBorder="1" applyAlignment="1">
      <alignment horizontal="center" vertical="center"/>
    </xf>
    <xf numFmtId="0" fontId="4" fillId="7" borderId="8" xfId="0" applyFont="1" applyFill="1" applyBorder="1" applyAlignment="1">
      <alignment horizontal="center"/>
    </xf>
    <xf numFmtId="0" fontId="0" fillId="6" borderId="4" xfId="0" applyFont="1" applyFill="1" applyBorder="1" applyAlignment="1">
      <alignment horizontal="left" vertical="top"/>
    </xf>
    <xf numFmtId="0" fontId="0" fillId="6" borderId="4" xfId="0" applyFont="1" applyFill="1" applyBorder="1" applyAlignment="1">
      <alignment horizontal="left" vertical="top" wrapText="1"/>
    </xf>
    <xf numFmtId="0" fontId="0" fillId="6" borderId="1" xfId="0" applyFont="1" applyFill="1" applyBorder="1" applyAlignment="1">
      <alignment horizontal="left" vertical="top" wrapText="1"/>
    </xf>
    <xf numFmtId="0" fontId="0" fillId="6" borderId="0" xfId="0" applyFill="1" applyBorder="1" applyAlignment="1">
      <alignment horizontal="right" wrapText="1"/>
    </xf>
    <xf numFmtId="0" fontId="3" fillId="6" borderId="4" xfId="0" applyFont="1" applyFill="1" applyBorder="1" applyAlignment="1" applyProtection="1">
      <alignment horizontal="center" vertical="center"/>
      <protection locked="0"/>
    </xf>
    <xf numFmtId="0" fontId="3" fillId="6" borderId="10"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8" fillId="6" borderId="1" xfId="0" applyFont="1" applyFill="1" applyBorder="1" applyAlignment="1" applyProtection="1">
      <alignment horizontal="center"/>
      <protection locked="0"/>
    </xf>
    <xf numFmtId="0" fontId="8" fillId="6" borderId="8" xfId="0" applyFont="1" applyFill="1" applyBorder="1" applyAlignment="1" applyProtection="1">
      <alignment horizontal="center"/>
      <protection locked="0"/>
    </xf>
    <xf numFmtId="0" fontId="8" fillId="6" borderId="1" xfId="0" applyFont="1" applyFill="1" applyBorder="1" applyAlignment="1" applyProtection="1">
      <alignment horizontal="center" vertical="center"/>
      <protection locked="0"/>
    </xf>
    <xf numFmtId="0" fontId="9" fillId="6" borderId="0" xfId="0" applyFont="1" applyFill="1"/>
    <xf numFmtId="0" fontId="10" fillId="6" borderId="0" xfId="0" applyFont="1" applyFill="1"/>
    <xf numFmtId="0" fontId="11" fillId="2" borderId="1" xfId="0" applyFont="1" applyFill="1" applyBorder="1" applyAlignment="1">
      <alignment horizontal="center"/>
    </xf>
    <xf numFmtId="0" fontId="11" fillId="5" borderId="1" xfId="0" applyFont="1" applyFill="1" applyBorder="1" applyAlignment="1">
      <alignment horizontal="center"/>
    </xf>
    <xf numFmtId="0" fontId="11" fillId="4" borderId="1" xfId="0" applyFont="1" applyFill="1" applyBorder="1" applyAlignment="1">
      <alignment horizontal="center"/>
    </xf>
    <xf numFmtId="0" fontId="11" fillId="3" borderId="1" xfId="0" applyFont="1" applyFill="1" applyBorder="1" applyAlignment="1">
      <alignment horizontal="center"/>
    </xf>
    <xf numFmtId="0" fontId="11" fillId="8" borderId="1" xfId="0" applyFont="1" applyFill="1" applyBorder="1" applyAlignment="1">
      <alignment horizontal="center"/>
    </xf>
    <xf numFmtId="0" fontId="9" fillId="6" borderId="1" xfId="0" applyFont="1" applyFill="1" applyBorder="1"/>
    <xf numFmtId="0" fontId="10" fillId="6" borderId="1" xfId="0" applyFont="1" applyFill="1" applyBorder="1" applyAlignment="1">
      <alignment vertical="top" wrapText="1"/>
    </xf>
    <xf numFmtId="0" fontId="12" fillId="6" borderId="1" xfId="0" applyFont="1" applyFill="1" applyBorder="1" applyAlignment="1" applyProtection="1">
      <alignment horizontal="center" vertical="center"/>
      <protection locked="0"/>
    </xf>
    <xf numFmtId="0" fontId="13" fillId="6" borderId="1" xfId="0" applyFont="1" applyFill="1" applyBorder="1" applyAlignment="1">
      <alignment horizontal="center" vertical="center"/>
    </xf>
    <xf numFmtId="0" fontId="10" fillId="6" borderId="0" xfId="0" applyFont="1" applyFill="1" applyBorder="1"/>
    <xf numFmtId="0" fontId="13" fillId="6" borderId="0" xfId="0" applyFont="1" applyFill="1" applyBorder="1" applyAlignment="1">
      <alignment horizontal="center" vertical="center"/>
    </xf>
    <xf numFmtId="9" fontId="0" fillId="6" borderId="0" xfId="0" applyNumberFormat="1" applyFill="1"/>
    <xf numFmtId="0" fontId="1" fillId="6" borderId="8" xfId="0" applyFont="1" applyFill="1" applyBorder="1"/>
    <xf numFmtId="1" fontId="4" fillId="6" borderId="0" xfId="0" applyNumberFormat="1" applyFont="1" applyFill="1" applyBorder="1" applyAlignment="1">
      <alignment horizontal="center" vertical="center"/>
    </xf>
    <xf numFmtId="0" fontId="4" fillId="6" borderId="8" xfId="0" applyFont="1" applyFill="1" applyBorder="1" applyAlignment="1">
      <alignment horizontal="center"/>
    </xf>
    <xf numFmtId="9" fontId="2" fillId="0" borderId="1" xfId="2" applyFont="1" applyBorder="1" applyAlignment="1">
      <alignment horizontal="center"/>
    </xf>
    <xf numFmtId="10" fontId="13" fillId="6" borderId="0" xfId="1" applyNumberFormat="1" applyFont="1" applyFill="1" applyBorder="1" applyAlignment="1">
      <alignment horizontal="center" vertical="center"/>
    </xf>
    <xf numFmtId="9" fontId="2" fillId="0" borderId="1" xfId="2" applyFont="1" applyFill="1" applyBorder="1" applyAlignment="1">
      <alignment horizontal="center"/>
    </xf>
    <xf numFmtId="9" fontId="4" fillId="0" borderId="1" xfId="2" applyFont="1" applyBorder="1" applyAlignment="1">
      <alignment horizontal="center"/>
    </xf>
    <xf numFmtId="164" fontId="13" fillId="6" borderId="0" xfId="0" applyNumberFormat="1" applyFont="1" applyFill="1" applyBorder="1" applyAlignment="1">
      <alignment horizontal="center" vertical="center"/>
    </xf>
    <xf numFmtId="0" fontId="1" fillId="3" borderId="4" xfId="0" applyFont="1" applyFill="1" applyBorder="1" applyAlignment="1">
      <alignment horizontal="center"/>
    </xf>
    <xf numFmtId="0" fontId="9" fillId="3" borderId="4" xfId="0" applyFont="1" applyFill="1" applyBorder="1" applyAlignment="1">
      <alignment horizontal="center"/>
    </xf>
    <xf numFmtId="0" fontId="9" fillId="3" borderId="1" xfId="0" applyFont="1" applyFill="1" applyBorder="1" applyAlignment="1">
      <alignment horizontal="center"/>
    </xf>
    <xf numFmtId="0" fontId="2" fillId="10" borderId="1" xfId="0" applyFont="1" applyFill="1" applyBorder="1" applyAlignment="1">
      <alignment horizontal="center"/>
    </xf>
    <xf numFmtId="0" fontId="2" fillId="9" borderId="1" xfId="0" applyFont="1" applyFill="1" applyBorder="1" applyAlignment="1">
      <alignment horizontal="center"/>
    </xf>
    <xf numFmtId="0" fontId="7" fillId="8" borderId="8" xfId="0" applyFont="1" applyFill="1" applyBorder="1" applyAlignment="1">
      <alignment horizontal="center"/>
    </xf>
    <xf numFmtId="0" fontId="1" fillId="10" borderId="1" xfId="0" applyFont="1" applyFill="1" applyBorder="1" applyAlignment="1">
      <alignment horizontal="center"/>
    </xf>
    <xf numFmtId="0" fontId="1" fillId="11" borderId="1" xfId="0" applyFont="1" applyFill="1" applyBorder="1" applyAlignment="1">
      <alignment horizontal="center"/>
    </xf>
    <xf numFmtId="0" fontId="2" fillId="11" borderId="1" xfId="0" applyFont="1" applyFill="1" applyBorder="1" applyAlignment="1">
      <alignment horizontal="center"/>
    </xf>
    <xf numFmtId="0" fontId="1" fillId="12" borderId="1" xfId="0" applyFont="1" applyFill="1" applyBorder="1"/>
    <xf numFmtId="0" fontId="9" fillId="12" borderId="1" xfId="0" applyFont="1" applyFill="1" applyBorder="1"/>
    <xf numFmtId="0" fontId="0" fillId="12" borderId="1" xfId="0" applyFill="1" applyBorder="1"/>
    <xf numFmtId="9" fontId="4" fillId="12" borderId="1" xfId="1" applyNumberFormat="1" applyFont="1" applyFill="1" applyBorder="1" applyAlignment="1">
      <alignment horizontal="center" vertical="center"/>
    </xf>
    <xf numFmtId="0" fontId="4" fillId="12" borderId="1" xfId="0" applyFont="1" applyFill="1" applyBorder="1" applyAlignment="1">
      <alignment horizontal="center" vertical="center"/>
    </xf>
    <xf numFmtId="9" fontId="4" fillId="12" borderId="1" xfId="2" applyFont="1" applyFill="1" applyBorder="1" applyAlignment="1">
      <alignment horizontal="center" vertical="center"/>
    </xf>
    <xf numFmtId="164" fontId="4" fillId="12" borderId="1" xfId="0" applyNumberFormat="1" applyFont="1" applyFill="1" applyBorder="1" applyAlignment="1">
      <alignment horizontal="center" vertical="center"/>
    </xf>
    <xf numFmtId="0" fontId="4" fillId="12" borderId="8" xfId="0" applyFont="1" applyFill="1" applyBorder="1" applyAlignment="1">
      <alignment horizontal="center" vertical="top"/>
    </xf>
    <xf numFmtId="0" fontId="4" fillId="12" borderId="1" xfId="0" applyFont="1" applyFill="1" applyBorder="1" applyAlignment="1">
      <alignment horizontal="center"/>
    </xf>
    <xf numFmtId="0" fontId="4" fillId="12" borderId="8" xfId="0" applyFont="1" applyFill="1" applyBorder="1" applyAlignment="1">
      <alignment horizontal="center"/>
    </xf>
    <xf numFmtId="0" fontId="4" fillId="12" borderId="8" xfId="0" applyFont="1" applyFill="1" applyBorder="1" applyAlignment="1">
      <alignment horizontal="center" vertical="center"/>
    </xf>
    <xf numFmtId="10" fontId="4" fillId="12" borderId="1" xfId="1" applyNumberFormat="1" applyFont="1" applyFill="1" applyBorder="1" applyAlignment="1">
      <alignment horizontal="center" vertical="center"/>
    </xf>
    <xf numFmtId="0" fontId="4" fillId="12" borderId="0" xfId="0" applyFont="1" applyFill="1" applyBorder="1" applyAlignment="1">
      <alignment horizontal="center" vertical="center"/>
    </xf>
    <xf numFmtId="10" fontId="13" fillId="12" borderId="1" xfId="1" applyNumberFormat="1" applyFont="1" applyFill="1" applyBorder="1" applyAlignment="1">
      <alignment horizontal="center" vertical="center"/>
    </xf>
    <xf numFmtId="10" fontId="13" fillId="12" borderId="1" xfId="2" applyNumberFormat="1" applyFont="1" applyFill="1" applyBorder="1" applyAlignment="1">
      <alignment horizontal="center" vertical="center"/>
    </xf>
    <xf numFmtId="164" fontId="13" fillId="12" borderId="4" xfId="0" applyNumberFormat="1" applyFont="1" applyFill="1" applyBorder="1" applyAlignment="1">
      <alignment horizontal="center" vertical="center"/>
    </xf>
    <xf numFmtId="10" fontId="13" fillId="12" borderId="4" xfId="0" applyNumberFormat="1" applyFont="1" applyFill="1" applyBorder="1" applyAlignment="1">
      <alignment horizontal="center" vertical="center"/>
    </xf>
    <xf numFmtId="9" fontId="13" fillId="12" borderId="1" xfId="2" applyFont="1" applyFill="1" applyBorder="1" applyAlignment="1">
      <alignment horizontal="center" vertical="center"/>
    </xf>
    <xf numFmtId="9" fontId="13" fillId="12" borderId="1" xfId="1" applyNumberFormat="1" applyFont="1" applyFill="1" applyBorder="1" applyAlignment="1">
      <alignment horizontal="center" vertical="center"/>
    </xf>
    <xf numFmtId="164" fontId="13" fillId="12" borderId="1" xfId="0" applyNumberFormat="1" applyFont="1" applyFill="1" applyBorder="1" applyAlignment="1">
      <alignment vertical="center"/>
    </xf>
    <xf numFmtId="164" fontId="4" fillId="12" borderId="11" xfId="0" applyNumberFormat="1" applyFont="1" applyFill="1" applyBorder="1" applyAlignment="1">
      <alignment horizontal="center" vertical="center"/>
    </xf>
    <xf numFmtId="10" fontId="4" fillId="12" borderId="8" xfId="1" applyNumberFormat="1" applyFont="1" applyFill="1" applyBorder="1" applyAlignment="1">
      <alignment horizontal="center" vertical="center"/>
    </xf>
    <xf numFmtId="0" fontId="10" fillId="12" borderId="1" xfId="0" applyFont="1" applyFill="1" applyBorder="1"/>
    <xf numFmtId="0" fontId="1" fillId="4" borderId="5" xfId="0" applyFont="1" applyFill="1" applyBorder="1" applyAlignment="1">
      <alignment horizontal="left"/>
    </xf>
    <xf numFmtId="0" fontId="1" fillId="4" borderId="6" xfId="0" applyFont="1" applyFill="1" applyBorder="1" applyAlignment="1">
      <alignment horizontal="left"/>
    </xf>
    <xf numFmtId="0" fontId="1" fillId="4" borderId="7" xfId="0" applyFont="1" applyFill="1" applyBorder="1" applyAlignment="1">
      <alignment horizontal="left"/>
    </xf>
    <xf numFmtId="0" fontId="6" fillId="9" borderId="8"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9" xfId="0" applyFont="1" applyFill="1" applyBorder="1" applyAlignment="1">
      <alignment horizontal="center" vertical="center"/>
    </xf>
    <xf numFmtId="0" fontId="9" fillId="4" borderId="5" xfId="0" applyFont="1" applyFill="1" applyBorder="1" applyAlignment="1">
      <alignment horizontal="left"/>
    </xf>
    <xf numFmtId="0" fontId="9" fillId="4" borderId="6" xfId="0" applyFont="1" applyFill="1" applyBorder="1" applyAlignment="1">
      <alignment horizontal="left"/>
    </xf>
    <xf numFmtId="0" fontId="9" fillId="4" borderId="7" xfId="0" applyFont="1" applyFill="1" applyBorder="1" applyAlignment="1">
      <alignment horizontal="left"/>
    </xf>
    <xf numFmtId="0" fontId="9" fillId="4" borderId="2" xfId="0" applyFont="1" applyFill="1" applyBorder="1" applyAlignment="1">
      <alignment horizontal="left"/>
    </xf>
    <xf numFmtId="0" fontId="9" fillId="4" borderId="3" xfId="0" applyFont="1" applyFill="1" applyBorder="1" applyAlignment="1">
      <alignment horizontal="left"/>
    </xf>
  </cellXfs>
  <cellStyles count="3">
    <cellStyle name="Millares" xfId="1" builtinId="3"/>
    <cellStyle name="Normal" xfId="0" builtinId="0"/>
    <cellStyle name="Porcentaj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1. NECESIDADES BÁSICAS</a:t>
            </a: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ENCUESTA!$A$2</c:f>
              <c:strCache>
                <c:ptCount val="1"/>
                <c:pt idx="0">
                  <c:v>COMPONENTE 1: NECESIDADES BÁSICAS</c:v>
                </c:pt>
              </c:strCache>
            </c:strRef>
          </c:tx>
          <c:spPr>
            <a:scene3d>
              <a:camera prst="orthographicFront"/>
              <a:lightRig rig="threePt" dir="t"/>
            </a:scene3d>
            <a:sp3d prstMaterial="metal">
              <a:bevelT/>
              <a:bevelB/>
            </a:sp3d>
          </c:spPr>
          <c:dPt>
            <c:idx val="0"/>
            <c:bubble3D val="0"/>
            <c:spPr>
              <a:solidFill>
                <a:srgbClr val="00B050"/>
              </a:solidFill>
              <a:scene3d>
                <a:camera prst="orthographicFront"/>
                <a:lightRig rig="threePt" dir="t"/>
              </a:scene3d>
              <a:sp3d prstMaterial="metal">
                <a:bevelT/>
                <a:bevelB/>
              </a:sp3d>
            </c:spPr>
            <c:extLst xmlns:c16r2="http://schemas.microsoft.com/office/drawing/2015/06/chart">
              <c:ext xmlns:c16="http://schemas.microsoft.com/office/drawing/2014/chart" uri="{C3380CC4-5D6E-409C-BE32-E72D297353CC}">
                <c16:uniqueId val="{00000000-493E-4D74-BA27-26BE4F62D309}"/>
              </c:ext>
            </c:extLst>
          </c:dPt>
          <c:dPt>
            <c:idx val="1"/>
            <c:bubble3D val="0"/>
            <c:spPr>
              <a:solidFill>
                <a:srgbClr val="00B050"/>
              </a:solidFill>
              <a:scene3d>
                <a:camera prst="orthographicFront"/>
                <a:lightRig rig="threePt" dir="t"/>
              </a:scene3d>
              <a:sp3d prstMaterial="metal">
                <a:bevelT/>
                <a:bevelB/>
              </a:sp3d>
            </c:spPr>
            <c:extLst xmlns:c16r2="http://schemas.microsoft.com/office/drawing/2015/06/chart">
              <c:ext xmlns:c16="http://schemas.microsoft.com/office/drawing/2014/chart" uri="{C3380CC4-5D6E-409C-BE32-E72D297353CC}">
                <c16:uniqueId val="{00000001-493E-4D74-BA27-26BE4F62D309}"/>
              </c:ext>
            </c:extLst>
          </c:dPt>
          <c:dPt>
            <c:idx val="2"/>
            <c:bubble3D val="0"/>
            <c:spPr>
              <a:solidFill>
                <a:srgbClr val="FFFF00"/>
              </a:solidFill>
              <a:scene3d>
                <a:camera prst="orthographicFront"/>
                <a:lightRig rig="threePt" dir="t"/>
              </a:scene3d>
              <a:sp3d prstMaterial="metal">
                <a:bevelT/>
                <a:bevelB/>
              </a:sp3d>
            </c:spPr>
            <c:extLst xmlns:c16r2="http://schemas.microsoft.com/office/drawing/2015/06/chart">
              <c:ext xmlns:c16="http://schemas.microsoft.com/office/drawing/2014/chart" uri="{C3380CC4-5D6E-409C-BE32-E72D297353CC}">
                <c16:uniqueId val="{00000002-493E-4D74-BA27-26BE4F62D309}"/>
              </c:ext>
            </c:extLst>
          </c:dPt>
          <c:dPt>
            <c:idx val="3"/>
            <c:bubble3D val="0"/>
            <c:spPr>
              <a:solidFill>
                <a:srgbClr val="FF0000"/>
              </a:solidFill>
              <a:scene3d>
                <a:camera prst="orthographicFront"/>
                <a:lightRig rig="threePt" dir="t"/>
              </a:scene3d>
              <a:sp3d prstMaterial="metal">
                <a:bevelT/>
                <a:bevelB/>
              </a:sp3d>
            </c:spPr>
            <c:extLst xmlns:c16r2="http://schemas.microsoft.com/office/drawing/2015/06/chart">
              <c:ext xmlns:c16="http://schemas.microsoft.com/office/drawing/2014/chart" uri="{C3380CC4-5D6E-409C-BE32-E72D297353CC}">
                <c16:uniqueId val="{00000003-493E-4D74-BA27-26BE4F62D309}"/>
              </c:ext>
            </c:extLst>
          </c:dPt>
          <c:dPt>
            <c:idx val="4"/>
            <c:bubble3D val="0"/>
            <c:spPr>
              <a:solidFill>
                <a:srgbClr val="0070C0"/>
              </a:solidFill>
              <a:scene3d>
                <a:camera prst="orthographicFront"/>
                <a:lightRig rig="threePt" dir="t"/>
              </a:scene3d>
              <a:sp3d prstMaterial="metal">
                <a:bevelT/>
                <a:bevelB/>
              </a:sp3d>
            </c:spPr>
            <c:extLst xmlns:c16r2="http://schemas.microsoft.com/office/drawing/2015/06/chart">
              <c:ext xmlns:c16="http://schemas.microsoft.com/office/drawing/2014/chart" uri="{C3380CC4-5D6E-409C-BE32-E72D297353CC}">
                <c16:uniqueId val="{00000004-493E-4D74-BA27-26BE4F62D309}"/>
              </c:ext>
            </c:extLst>
          </c:dPt>
          <c:dPt>
            <c:idx val="5"/>
            <c:bubble3D val="0"/>
            <c:spPr>
              <a:solidFill>
                <a:srgbClr val="0070C0"/>
              </a:solidFill>
              <a:scene3d>
                <a:camera prst="orthographicFront"/>
                <a:lightRig rig="threePt" dir="t"/>
              </a:scene3d>
              <a:sp3d prstMaterial="metal">
                <a:bevelT/>
                <a:bevelB/>
              </a:sp3d>
            </c:spPr>
            <c:extLst xmlns:c16r2="http://schemas.microsoft.com/office/drawing/2015/06/chart">
              <c:ext xmlns:c16="http://schemas.microsoft.com/office/drawing/2014/chart" uri="{C3380CC4-5D6E-409C-BE32-E72D297353CC}">
                <c16:uniqueId val="{00000005-493E-4D74-BA27-26BE4F62D309}"/>
              </c:ext>
            </c:extLst>
          </c:dPt>
          <c:dLbls>
            <c:dLbl>
              <c:idx val="2"/>
              <c:tx>
                <c:rich>
                  <a:bodyPr/>
                  <a:lstStyle/>
                  <a:p>
                    <a:r>
                      <a:rPr lang="en-US"/>
                      <a:t>35%</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2-493E-4D74-BA27-26BE4F62D309}"/>
                </c:ext>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ENCUESTA!$B$3:$G$3</c:f>
              <c:strCache>
                <c:ptCount val="6"/>
                <c:pt idx="0">
                  <c:v>MUY SATISFECHO</c:v>
                </c:pt>
                <c:pt idx="1">
                  <c:v>SATISFECHO</c:v>
                </c:pt>
                <c:pt idx="2">
                  <c:v>DEFICIENTE</c:v>
                </c:pt>
                <c:pt idx="3">
                  <c:v>MALO</c:v>
                </c:pt>
                <c:pt idx="4">
                  <c:v>MUY MALO</c:v>
                </c:pt>
                <c:pt idx="5">
                  <c:v>NO SABE NO RESPONDE</c:v>
                </c:pt>
              </c:strCache>
            </c:strRef>
          </c:cat>
          <c:val>
            <c:numRef>
              <c:f>ENCUESTA!$B$5:$G$5</c:f>
              <c:numCache>
                <c:formatCode>0%</c:formatCode>
                <c:ptCount val="6"/>
                <c:pt idx="0">
                  <c:v>0.15</c:v>
                </c:pt>
                <c:pt idx="1">
                  <c:v>0.38</c:v>
                </c:pt>
                <c:pt idx="2">
                  <c:v>0.35</c:v>
                </c:pt>
                <c:pt idx="3">
                  <c:v>7.0000000000000007E-2</c:v>
                </c:pt>
                <c:pt idx="4">
                  <c:v>0.04</c:v>
                </c:pt>
                <c:pt idx="5">
                  <c:v>0</c:v>
                </c:pt>
              </c:numCache>
            </c:numRef>
          </c:val>
          <c:extLst xmlns:c16r2="http://schemas.microsoft.com/office/drawing/2015/06/chart">
            <c:ext xmlns:c16="http://schemas.microsoft.com/office/drawing/2014/chart" uri="{C3380CC4-5D6E-409C-BE32-E72D297353CC}">
              <c16:uniqueId val="{00000006-493E-4D74-BA27-26BE4F62D309}"/>
            </c:ext>
          </c:extLst>
        </c:ser>
        <c:dLbls>
          <c:showLegendKey val="0"/>
          <c:showVal val="0"/>
          <c:showCatName val="0"/>
          <c:showSerName val="0"/>
          <c:showPercent val="0"/>
          <c:showBubbleSize val="0"/>
          <c:showLeaderLines val="1"/>
        </c:dLbls>
      </c:pie3DChart>
    </c:plotArea>
    <c:legend>
      <c:legendPos val="r"/>
      <c:overlay val="0"/>
      <c:txPr>
        <a:bodyPr/>
        <a:lstStyle/>
        <a:p>
          <a:pPr rtl="0">
            <a:defRPr baseline="0"/>
          </a:pPr>
          <a:endParaRPr lang="es-CO"/>
        </a:p>
      </c:txPr>
    </c:legend>
    <c:plotVisOnly val="1"/>
    <c:dispBlanksAs val="zero"/>
    <c:showDLblsOverMax val="0"/>
  </c:chart>
  <c:spPr>
    <a:solidFill>
      <a:schemeClr val="bg2">
        <a:lumMod val="90000"/>
      </a:schemeClr>
    </a:solidFill>
    <a:scene3d>
      <a:camera prst="orthographicFront"/>
      <a:lightRig rig="threePt" dir="t"/>
    </a:scene3d>
    <a:sp3d>
      <a:bevelT/>
      <a:bevelB/>
    </a:sp3d>
  </c:spPr>
  <c:printSettings>
    <c:headerFooter/>
    <c:pageMargins b="0.75000000000000155" l="0.70000000000000062" r="0.70000000000000062" t="0.75000000000000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baseline="0"/>
              <a:t>10. PERSPECTIVA DE GÉNERO</a:t>
            </a:r>
            <a:endParaRPr lang="es-CO" sz="1400"/>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xmlns:c16r2="http://schemas.microsoft.com/office/drawing/2015/06/chart">
              <c:ext xmlns:c16="http://schemas.microsoft.com/office/drawing/2014/chart" uri="{C3380CC4-5D6E-409C-BE32-E72D297353CC}">
                <c16:uniqueId val="{00000000-BC05-42B1-ABC4-B696FADA651E}"/>
              </c:ext>
            </c:extLst>
          </c:dPt>
          <c:dPt>
            <c:idx val="1"/>
            <c:bubble3D val="0"/>
            <c:spPr>
              <a:solidFill>
                <a:srgbClr val="C00000"/>
              </a:solidFill>
              <a:scene3d>
                <a:camera prst="orthographicFront"/>
                <a:lightRig rig="threePt" dir="t"/>
              </a:scene3d>
              <a:sp3d>
                <a:bevelT w="165100" prst="coolSlant"/>
                <a:bevelB w="165100" prst="coolSlant"/>
              </a:sp3d>
            </c:spPr>
            <c:extLst xmlns:c16r2="http://schemas.microsoft.com/office/drawing/2015/06/chart">
              <c:ext xmlns:c16="http://schemas.microsoft.com/office/drawing/2014/chart" uri="{C3380CC4-5D6E-409C-BE32-E72D297353CC}">
                <c16:uniqueId val="{00000001-BC05-42B1-ABC4-B696FADA651E}"/>
              </c:ext>
            </c:extLst>
          </c:dPt>
          <c:dLbls>
            <c:dLbl>
              <c:idx val="0"/>
              <c:spPr>
                <a:scene3d>
                  <a:camera prst="orthographicFront"/>
                  <a:lightRig rig="threePt" dir="t"/>
                </a:scene3d>
                <a:sp3d>
                  <a:bevelT w="165100" prst="coolSlant"/>
                </a:sp3d>
              </c:spPr>
              <c:txPr>
                <a:bodyPr/>
                <a:lstStyle/>
                <a:p>
                  <a:pPr>
                    <a:defRPr sz="1400" b="1">
                      <a:solidFill>
                        <a:sysClr val="windowText" lastClr="000000"/>
                      </a:solidFill>
                    </a:defRPr>
                  </a:pPr>
                  <a:endParaRPr lang="es-CO"/>
                </a:p>
              </c:txPr>
              <c:showLegendKey val="0"/>
              <c:showVal val="0"/>
              <c:showCatName val="0"/>
              <c:showSerName val="0"/>
              <c:showPercent val="1"/>
              <c:showBubbleSize val="0"/>
            </c:dLbl>
            <c:dLbl>
              <c:idx val="1"/>
              <c:layout>
                <c:manualLayout>
                  <c:x val="0.11017127250327748"/>
                  <c:y val="1.937372168058816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C05-42B1-ABC4-B696FADA651E}"/>
                </c:ext>
              </c:extLst>
            </c:dLbl>
            <c:spPr>
              <a:scene3d>
                <a:camera prst="orthographicFront"/>
                <a:lightRig rig="threePt" dir="t"/>
              </a:scene3d>
              <a:sp3d>
                <a:bevelT w="165100" prst="coolSlant"/>
              </a:sp3d>
            </c:spPr>
            <c:txPr>
              <a:bodyPr/>
              <a:lstStyle/>
              <a:p>
                <a:pPr>
                  <a:defRPr sz="1400" b="1">
                    <a:solidFill>
                      <a:schemeClr val="bg1"/>
                    </a:solidFill>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ENCUESTA!$B$85:$C$85</c:f>
              <c:strCache>
                <c:ptCount val="2"/>
                <c:pt idx="0">
                  <c:v>SI</c:v>
                </c:pt>
                <c:pt idx="1">
                  <c:v>NO</c:v>
                </c:pt>
              </c:strCache>
            </c:strRef>
          </c:cat>
          <c:val>
            <c:numRef>
              <c:f>ENCUESTA!$B$92:$C$92</c:f>
              <c:numCache>
                <c:formatCode>0.00%</c:formatCode>
                <c:ptCount val="2"/>
                <c:pt idx="0">
                  <c:v>0.50629999999999997</c:v>
                </c:pt>
                <c:pt idx="1">
                  <c:v>0.49370000000000003</c:v>
                </c:pt>
              </c:numCache>
            </c:numRef>
          </c:val>
          <c:extLst xmlns:c16r2="http://schemas.microsoft.com/office/drawing/2015/06/chart">
            <c:ext xmlns:c16="http://schemas.microsoft.com/office/drawing/2014/chart" uri="{C3380CC4-5D6E-409C-BE32-E72D297353CC}">
              <c16:uniqueId val="{00000002-BC05-42B1-ABC4-B696FADA651E}"/>
            </c:ext>
          </c:extLst>
        </c:ser>
        <c:dLbls>
          <c:showLegendKey val="0"/>
          <c:showVal val="0"/>
          <c:showCatName val="0"/>
          <c:showSerName val="0"/>
          <c:showPercent val="1"/>
          <c:showBubbleSize val="0"/>
          <c:showLeaderLines val="1"/>
        </c:dLbls>
      </c:pie3DChart>
    </c:plotArea>
    <c:legend>
      <c:legendPos val="t"/>
      <c:layout>
        <c:manualLayout>
          <c:xMode val="edge"/>
          <c:yMode val="edge"/>
          <c:x val="0.40033836395450723"/>
          <c:y val="0.25412398192494123"/>
          <c:w val="0.24654527559055159"/>
          <c:h val="0.15751873799280314"/>
        </c:manualLayout>
      </c:layout>
      <c:overlay val="0"/>
      <c:txPr>
        <a:bodyPr/>
        <a:lstStyle/>
        <a:p>
          <a:pPr rtl="0">
            <a:defRPr sz="1800" b="1"/>
          </a:pPr>
          <a:endParaRPr lang="es-CO"/>
        </a:p>
      </c:txPr>
    </c:legend>
    <c:plotVisOnly val="1"/>
    <c:dispBlanksAs val="zero"/>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000000000000155" l="0.70000000000000062" r="0.70000000000000062" t="0.750000000000001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100"/>
              <a:t>ADMINISTRACIÓN</a:t>
            </a:r>
            <a:r>
              <a:rPr lang="es-CO" sz="1100" baseline="0"/>
              <a:t> DE LA CARRERA JUDICIAL POR PARTE DEL CONSEJO SECCIONAL</a:t>
            </a:r>
            <a:endParaRPr lang="es-CO" sz="1100"/>
          </a:p>
        </c:rich>
      </c:tx>
      <c:layout>
        <c:manualLayout>
          <c:xMode val="edge"/>
          <c:yMode val="edge"/>
          <c:x val="0.13040266841644793"/>
          <c:y val="3.5555555555555556E-2"/>
        </c:manualLayout>
      </c:layout>
      <c:overlay val="0"/>
      <c:spPr>
        <a:solidFill>
          <a:schemeClr val="bg2"/>
        </a:solidFill>
        <a:effectLst>
          <a:outerShdw blurRad="50800" dist="38100" dir="5400000" algn="t" rotWithShape="0">
            <a:prstClr val="black">
              <a:alpha val="40000"/>
            </a:prstClr>
          </a:outerShdw>
        </a:effectLst>
      </c:spPr>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50000"/>
                </a:schemeClr>
              </a:solidFill>
              <a:scene3d>
                <a:camera prst="orthographicFront"/>
                <a:lightRig rig="threePt" dir="t"/>
              </a:scene3d>
              <a:sp3d prstMaterial="softEdge">
                <a:bevelT w="165100" prst="coolSlant"/>
                <a:bevelB/>
              </a:sp3d>
            </c:spPr>
            <c:extLst xmlns:c16r2="http://schemas.microsoft.com/office/drawing/2015/06/chart">
              <c:ext xmlns:c16="http://schemas.microsoft.com/office/drawing/2014/chart" uri="{C3380CC4-5D6E-409C-BE32-E72D297353CC}">
                <c16:uniqueId val="{00000000-A390-49E9-B0AB-F19A2395DAAE}"/>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1-A390-49E9-B0AB-F19A2395DAAE}"/>
              </c:ext>
            </c:extLst>
          </c:dPt>
          <c:dLbls>
            <c:dLbl>
              <c:idx val="0"/>
              <c:spPr/>
              <c:txPr>
                <a:bodyPr/>
                <a:lstStyle/>
                <a:p>
                  <a:pPr>
                    <a:defRPr sz="1200" b="1">
                      <a:solidFill>
                        <a:schemeClr val="bg1"/>
                      </a:solidFill>
                    </a:defRPr>
                  </a:pPr>
                  <a:endParaRPr lang="es-CO"/>
                </a:p>
              </c:txPr>
              <c:showLegendKey val="0"/>
              <c:showVal val="0"/>
              <c:showCatName val="1"/>
              <c:showSerName val="0"/>
              <c:showPercent val="1"/>
              <c:showBubbleSize val="0"/>
            </c:dLbl>
            <c:spPr>
              <a:noFill/>
              <a:ln>
                <a:noFill/>
              </a:ln>
              <a:effectLst/>
            </c:spPr>
            <c:txPr>
              <a:bodyPr/>
              <a:lstStyle/>
              <a:p>
                <a:pPr>
                  <a:defRPr sz="1200" b="1">
                    <a:solidFill>
                      <a:sysClr val="windowText" lastClr="000000"/>
                    </a:solidFill>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ENCUESTA!$B$56:$C$56</c:f>
              <c:strCache>
                <c:ptCount val="2"/>
                <c:pt idx="0">
                  <c:v>SI</c:v>
                </c:pt>
                <c:pt idx="1">
                  <c:v>NO</c:v>
                </c:pt>
              </c:strCache>
            </c:strRef>
          </c:cat>
          <c:val>
            <c:numRef>
              <c:f>ENCUESTA!$B$64:$C$64</c:f>
              <c:numCache>
                <c:formatCode>0.00%</c:formatCode>
                <c:ptCount val="2"/>
                <c:pt idx="0">
                  <c:v>0.79790000000000005</c:v>
                </c:pt>
                <c:pt idx="1">
                  <c:v>0.2021</c:v>
                </c:pt>
              </c:numCache>
            </c:numRef>
          </c:val>
          <c:extLst xmlns:c16r2="http://schemas.microsoft.com/office/drawing/2015/06/chart">
            <c:ext xmlns:c16="http://schemas.microsoft.com/office/drawing/2014/chart" uri="{C3380CC4-5D6E-409C-BE32-E72D297353CC}">
              <c16:uniqueId val="{00000002-A390-49E9-B0AB-F19A2395DAAE}"/>
            </c:ext>
          </c:extLst>
        </c:ser>
        <c:dLbls>
          <c:showLegendKey val="0"/>
          <c:showVal val="0"/>
          <c:showCatName val="1"/>
          <c:showSerName val="0"/>
          <c:showPercent val="1"/>
          <c:showBubbleSize val="0"/>
          <c:showLeaderLines val="1"/>
        </c:dLbls>
      </c:pie3DChart>
    </c:plotArea>
    <c:plotVisOnly val="1"/>
    <c:dispBlanksAs val="zero"/>
    <c:showDLblsOverMax val="0"/>
  </c:chart>
  <c:spPr>
    <a:solidFill>
      <a:schemeClr val="accent1">
        <a:lumMod val="20000"/>
        <a:lumOff val="80000"/>
      </a:schemeClr>
    </a:solidFill>
    <a:ln w="28575"/>
    <a:scene3d>
      <a:camera prst="orthographicFront"/>
      <a:lightRig rig="threePt" dir="t"/>
    </a:scene3d>
    <a:sp3d>
      <a:bevelT w="165100" prst="coolSlant"/>
    </a:sp3d>
  </c:spPr>
  <c:printSettings>
    <c:headerFooter/>
    <c:pageMargins b="0.75000000000000155" l="0.70000000000000062" r="0.70000000000000062" t="0.7500000000000015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6. OPORTUNIDAD</a:t>
            </a:r>
            <a:r>
              <a:rPr lang="es-CO" sz="1400" baseline="0"/>
              <a:t> EN EL PAGO NÓMINA</a:t>
            </a:r>
            <a:endParaRPr lang="es-CO" sz="1400"/>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xmlns:c16r2="http://schemas.microsoft.com/office/drawing/2015/06/chart">
              <c:ext xmlns:c16="http://schemas.microsoft.com/office/drawing/2014/chart" uri="{C3380CC4-5D6E-409C-BE32-E72D297353CC}">
                <c16:uniqueId val="{00000000-E17B-44B8-8F92-5FEE15EDEB09}"/>
              </c:ext>
            </c:extLst>
          </c:dPt>
          <c:dPt>
            <c:idx val="1"/>
            <c:bubble3D val="0"/>
            <c:spPr>
              <a:solidFill>
                <a:srgbClr val="C00000"/>
              </a:solidFill>
              <a:scene3d>
                <a:camera prst="orthographicFront"/>
                <a:lightRig rig="threePt" dir="t"/>
              </a:scene3d>
              <a:sp3d>
                <a:bevelT w="165100" prst="coolSlant"/>
                <a:bevelB w="165100" prst="coolSlant"/>
              </a:sp3d>
            </c:spPr>
            <c:extLst xmlns:c16r2="http://schemas.microsoft.com/office/drawing/2015/06/chart">
              <c:ext xmlns:c16="http://schemas.microsoft.com/office/drawing/2014/chart" uri="{C3380CC4-5D6E-409C-BE32-E72D297353CC}">
                <c16:uniqueId val="{00000001-E17B-44B8-8F92-5FEE15EDEB09}"/>
              </c:ext>
            </c:extLst>
          </c:dPt>
          <c:dLbls>
            <c:dLbl>
              <c:idx val="0"/>
              <c:layout>
                <c:manualLayout>
                  <c:x val="9.583981470468228E-2"/>
                  <c:y val="-9.9987979011235184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E17B-44B8-8F92-5FEE15EDEB09}"/>
                </c:ext>
              </c:extLst>
            </c:dLbl>
            <c:spPr>
              <a:noFill/>
              <a:ln>
                <a:noFill/>
              </a:ln>
              <a:effectLst/>
            </c:spPr>
            <c:txPr>
              <a:bodyPr/>
              <a:lstStyle/>
              <a:p>
                <a:pPr>
                  <a:defRPr sz="1400" b="1">
                    <a:solidFill>
                      <a:sysClr val="windowText" lastClr="000000"/>
                    </a:solidFill>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ENCUESTA!$B$47:$C$47</c:f>
              <c:strCache>
                <c:ptCount val="2"/>
                <c:pt idx="0">
                  <c:v>SI</c:v>
                </c:pt>
                <c:pt idx="1">
                  <c:v>NO</c:v>
                </c:pt>
              </c:strCache>
            </c:strRef>
          </c:cat>
          <c:val>
            <c:numRef>
              <c:f>ENCUESTA!$B$53:$C$53</c:f>
              <c:numCache>
                <c:formatCode>0%</c:formatCode>
                <c:ptCount val="2"/>
                <c:pt idx="0">
                  <c:v>0.82</c:v>
                </c:pt>
                <c:pt idx="1">
                  <c:v>0.18</c:v>
                </c:pt>
              </c:numCache>
            </c:numRef>
          </c:val>
          <c:extLst xmlns:c16r2="http://schemas.microsoft.com/office/drawing/2015/06/chart">
            <c:ext xmlns:c16="http://schemas.microsoft.com/office/drawing/2014/chart" uri="{C3380CC4-5D6E-409C-BE32-E72D297353CC}">
              <c16:uniqueId val="{00000002-E17B-44B8-8F92-5FEE15EDEB09}"/>
            </c:ext>
          </c:extLst>
        </c:ser>
        <c:dLbls>
          <c:showLegendKey val="0"/>
          <c:showVal val="0"/>
          <c:showCatName val="0"/>
          <c:showSerName val="0"/>
          <c:showPercent val="1"/>
          <c:showBubbleSize val="0"/>
          <c:showLeaderLines val="1"/>
        </c:dLbls>
      </c:pie3DChart>
    </c:plotArea>
    <c:legend>
      <c:legendPos val="t"/>
      <c:overlay val="0"/>
      <c:txPr>
        <a:bodyPr/>
        <a:lstStyle/>
        <a:p>
          <a:pPr>
            <a:defRPr sz="1400" b="1"/>
          </a:pPr>
          <a:endParaRPr lang="es-CO"/>
        </a:p>
      </c:txPr>
    </c:legend>
    <c:plotVisOnly val="1"/>
    <c:dispBlanksAs val="zero"/>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000000000000155" l="0.70000000000000062" r="0.70000000000000062" t="0.75000000000000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a:t>2. NECESIDADES TECNOLÓGICAS</a:t>
            </a:r>
          </a:p>
        </c:rich>
      </c:tx>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6.0984941101394394E-2"/>
          <c:y val="0.43974239341828691"/>
          <c:w val="0.52344694270023129"/>
          <c:h val="0.4570182155634373"/>
        </c:manualLayout>
      </c:layout>
      <c:pie3DChart>
        <c:varyColors val="1"/>
        <c:ser>
          <c:idx val="0"/>
          <c:order val="0"/>
          <c:tx>
            <c:v>2. NECESIDES TECNOLÓGICAS</c:v>
          </c:tx>
          <c:spPr>
            <a:solidFill>
              <a:srgbClr val="00B050"/>
            </a:solidFill>
          </c:spPr>
          <c:explosion val="25"/>
          <c:dPt>
            <c:idx val="2"/>
            <c:bubble3D val="0"/>
            <c:spPr>
              <a:solidFill>
                <a:srgbClr val="FFFF00"/>
              </a:solidFill>
            </c:spPr>
            <c:extLst xmlns:c16r2="http://schemas.microsoft.com/office/drawing/2015/06/chart">
              <c:ext xmlns:c16="http://schemas.microsoft.com/office/drawing/2014/chart" uri="{C3380CC4-5D6E-409C-BE32-E72D297353CC}">
                <c16:uniqueId val="{00000000-21F0-4B60-9146-CA6982B7E44B}"/>
              </c:ext>
            </c:extLst>
          </c:dPt>
          <c:dPt>
            <c:idx val="3"/>
            <c:bubble3D val="0"/>
            <c:spPr>
              <a:solidFill>
                <a:srgbClr val="FF0000"/>
              </a:solidFill>
            </c:spPr>
            <c:extLst xmlns:c16r2="http://schemas.microsoft.com/office/drawing/2015/06/chart">
              <c:ext xmlns:c16="http://schemas.microsoft.com/office/drawing/2014/chart" uri="{C3380CC4-5D6E-409C-BE32-E72D297353CC}">
                <c16:uniqueId val="{00000001-21F0-4B60-9146-CA6982B7E44B}"/>
              </c:ext>
            </c:extLst>
          </c:dPt>
          <c:dPt>
            <c:idx val="4"/>
            <c:bubble3D val="0"/>
            <c:spPr>
              <a:solidFill>
                <a:srgbClr val="FF0000"/>
              </a:solidFill>
            </c:spPr>
            <c:extLst xmlns:c16r2="http://schemas.microsoft.com/office/drawing/2015/06/chart">
              <c:ext xmlns:c16="http://schemas.microsoft.com/office/drawing/2014/chart" uri="{C3380CC4-5D6E-409C-BE32-E72D297353CC}">
                <c16:uniqueId val="{00000002-21F0-4B60-9146-CA6982B7E44B}"/>
              </c:ext>
            </c:extLst>
          </c:dPt>
          <c:dPt>
            <c:idx val="5"/>
            <c:bubble3D val="0"/>
            <c:spPr>
              <a:solidFill>
                <a:srgbClr val="0070C0"/>
              </a:solidFill>
            </c:spPr>
            <c:extLst xmlns:c16r2="http://schemas.microsoft.com/office/drawing/2015/06/chart">
              <c:ext xmlns:c16="http://schemas.microsoft.com/office/drawing/2014/chart" uri="{C3380CC4-5D6E-409C-BE32-E72D297353CC}">
                <c16:uniqueId val="{00000003-21F0-4B60-9146-CA6982B7E44B}"/>
              </c:ext>
            </c:extLst>
          </c:dPt>
          <c:dLbls>
            <c:dLbl>
              <c:idx val="1"/>
              <c:tx>
                <c:rich>
                  <a:bodyPr/>
                  <a:lstStyle/>
                  <a:p>
                    <a:r>
                      <a:rPr lang="en-US"/>
                      <a:t>51%</a:t>
                    </a:r>
                  </a:p>
                </c:rich>
              </c:tx>
              <c:showLegendKey val="0"/>
              <c:showVal val="0"/>
              <c:showCatName val="0"/>
              <c:showSerName val="0"/>
              <c:showPercent val="1"/>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4-21F0-4B60-9146-CA6982B7E44B}"/>
                </c:ext>
              </c:extLst>
            </c:dLbl>
            <c:dLbl>
              <c:idx val="2"/>
              <c:tx>
                <c:rich>
                  <a:bodyPr/>
                  <a:lstStyle/>
                  <a:p>
                    <a:r>
                      <a:rPr lang="en-US"/>
                      <a:t>29%</a:t>
                    </a:r>
                  </a:p>
                </c:rich>
              </c:tx>
              <c:showLegendKey val="0"/>
              <c:showVal val="0"/>
              <c:showCatName val="0"/>
              <c:showSerName val="0"/>
              <c:showPercent val="1"/>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0-21F0-4B60-9146-CA6982B7E44B}"/>
                </c:ext>
              </c:extLst>
            </c:dLbl>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ENCUESTA!$B$9:$G$9</c:f>
              <c:strCache>
                <c:ptCount val="6"/>
                <c:pt idx="0">
                  <c:v>MUY SATISFECHO</c:v>
                </c:pt>
                <c:pt idx="1">
                  <c:v>SATISFECHO</c:v>
                </c:pt>
                <c:pt idx="2">
                  <c:v>DEFICIENTE</c:v>
                </c:pt>
                <c:pt idx="3">
                  <c:v>MALO</c:v>
                </c:pt>
                <c:pt idx="4">
                  <c:v>MUY MALO</c:v>
                </c:pt>
                <c:pt idx="5">
                  <c:v>NO SABE NO RESPONDE</c:v>
                </c:pt>
              </c:strCache>
            </c:strRef>
          </c:cat>
          <c:val>
            <c:numRef>
              <c:f>ENCUESTA!$B$11:$G$11</c:f>
              <c:numCache>
                <c:formatCode>0.00%</c:formatCode>
                <c:ptCount val="6"/>
                <c:pt idx="0">
                  <c:v>0.15</c:v>
                </c:pt>
                <c:pt idx="1">
                  <c:v>0.51</c:v>
                </c:pt>
                <c:pt idx="2">
                  <c:v>0.28999999999999998</c:v>
                </c:pt>
                <c:pt idx="3">
                  <c:v>0.04</c:v>
                </c:pt>
                <c:pt idx="4">
                  <c:v>0</c:v>
                </c:pt>
                <c:pt idx="5">
                  <c:v>0.01</c:v>
                </c:pt>
              </c:numCache>
            </c:numRef>
          </c:val>
          <c:extLst xmlns:c16r2="http://schemas.microsoft.com/office/drawing/2015/06/chart">
            <c:ext xmlns:c16="http://schemas.microsoft.com/office/drawing/2014/chart" uri="{C3380CC4-5D6E-409C-BE32-E72D297353CC}">
              <c16:uniqueId val="{00000005-21F0-4B60-9146-CA6982B7E44B}"/>
            </c:ext>
          </c:extLst>
        </c:ser>
        <c:dLbls>
          <c:showLegendKey val="0"/>
          <c:showVal val="0"/>
          <c:showCatName val="0"/>
          <c:showSerName val="0"/>
          <c:showPercent val="1"/>
          <c:showBubbleSize val="0"/>
          <c:showLeaderLines val="1"/>
        </c:dLbls>
      </c:pie3DChart>
    </c:plotArea>
    <c:legend>
      <c:legendPos val="r"/>
      <c:overlay val="0"/>
      <c:spPr>
        <a:scene3d>
          <a:camera prst="orthographicFront"/>
          <a:lightRig rig="threePt" dir="t"/>
        </a:scene3d>
        <a:sp3d>
          <a:bevelT/>
        </a:sp3d>
      </c:spPr>
    </c:legend>
    <c:plotVisOnly val="1"/>
    <c:dispBlanksAs val="zero"/>
    <c:showDLblsOverMax val="0"/>
  </c:chart>
  <c:spPr>
    <a:solidFill>
      <a:schemeClr val="bg2">
        <a:lumMod val="90000"/>
      </a:schemeClr>
    </a:solidFill>
  </c:spPr>
  <c:printSettings>
    <c:headerFooter/>
    <c:pageMargins b="0.75000000000000155" l="0.70000000000000062" r="0.70000000000000062" t="0.750000000000001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400"/>
              <a:t>3. SISTEMAS</a:t>
            </a:r>
            <a:r>
              <a:rPr lang="es-CO" sz="1400" baseline="0"/>
              <a:t> DE</a:t>
            </a:r>
            <a:r>
              <a:rPr lang="es-CO" sz="1400"/>
              <a:t> INFORMACIÓN</a:t>
            </a: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ENCUESTA!$A$17</c:f>
              <c:strCache>
                <c:ptCount val="1"/>
                <c:pt idx="0">
                  <c:v>PORCENTAJES</c:v>
                </c:pt>
              </c:strCache>
            </c:strRef>
          </c:tx>
          <c:spPr>
            <a:solidFill>
              <a:srgbClr val="00B050"/>
            </a:solidFill>
          </c:spPr>
          <c:explosion val="25"/>
          <c:dPt>
            <c:idx val="2"/>
            <c:bubble3D val="0"/>
            <c:spPr>
              <a:solidFill>
                <a:srgbClr val="FFFF00"/>
              </a:solidFill>
              <a:scene3d>
                <a:camera prst="orthographicFront"/>
                <a:lightRig rig="threePt" dir="t"/>
              </a:scene3d>
              <a:sp3d prstMaterial="metal">
                <a:bevelT/>
              </a:sp3d>
            </c:spPr>
            <c:extLst xmlns:c16r2="http://schemas.microsoft.com/office/drawing/2015/06/chart">
              <c:ext xmlns:c16="http://schemas.microsoft.com/office/drawing/2014/chart" uri="{C3380CC4-5D6E-409C-BE32-E72D297353CC}">
                <c16:uniqueId val="{00000000-A70E-4FC3-A0A2-4A21B243CE06}"/>
              </c:ext>
            </c:extLst>
          </c:dPt>
          <c:dPt>
            <c:idx val="3"/>
            <c:bubble3D val="0"/>
            <c:spPr>
              <a:solidFill>
                <a:srgbClr val="FF0000"/>
              </a:solidFill>
            </c:spPr>
            <c:extLst xmlns:c16r2="http://schemas.microsoft.com/office/drawing/2015/06/chart">
              <c:ext xmlns:c16="http://schemas.microsoft.com/office/drawing/2014/chart" uri="{C3380CC4-5D6E-409C-BE32-E72D297353CC}">
                <c16:uniqueId val="{00000001-A70E-4FC3-A0A2-4A21B243CE06}"/>
              </c:ext>
            </c:extLst>
          </c:dPt>
          <c:dPt>
            <c:idx val="4"/>
            <c:bubble3D val="0"/>
            <c:spPr>
              <a:solidFill>
                <a:srgbClr val="FF0000"/>
              </a:solidFill>
            </c:spPr>
            <c:extLst xmlns:c16r2="http://schemas.microsoft.com/office/drawing/2015/06/chart">
              <c:ext xmlns:c16="http://schemas.microsoft.com/office/drawing/2014/chart" uri="{C3380CC4-5D6E-409C-BE32-E72D297353CC}">
                <c16:uniqueId val="{00000002-A70E-4FC3-A0A2-4A21B243CE06}"/>
              </c:ext>
            </c:extLst>
          </c:dPt>
          <c:dPt>
            <c:idx val="5"/>
            <c:bubble3D val="0"/>
            <c:spPr>
              <a:solidFill>
                <a:srgbClr val="0070C0"/>
              </a:solidFill>
            </c:spPr>
            <c:extLst xmlns:c16r2="http://schemas.microsoft.com/office/drawing/2015/06/chart">
              <c:ext xmlns:c16="http://schemas.microsoft.com/office/drawing/2014/chart" uri="{C3380CC4-5D6E-409C-BE32-E72D297353CC}">
                <c16:uniqueId val="{00000003-A70E-4FC3-A0A2-4A21B243CE06}"/>
              </c:ext>
            </c:extLst>
          </c:dPt>
          <c:dLbls>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ENCUESTA!$B$15:$G$15</c:f>
              <c:strCache>
                <c:ptCount val="6"/>
                <c:pt idx="0">
                  <c:v>MUY SATISFECHO</c:v>
                </c:pt>
                <c:pt idx="1">
                  <c:v>SATISFECHO</c:v>
                </c:pt>
                <c:pt idx="2">
                  <c:v>DEFICIENTE</c:v>
                </c:pt>
                <c:pt idx="3">
                  <c:v>MALO</c:v>
                </c:pt>
                <c:pt idx="4">
                  <c:v>MUY MALO</c:v>
                </c:pt>
                <c:pt idx="5">
                  <c:v>NO SABE NO RESPONDE</c:v>
                </c:pt>
              </c:strCache>
            </c:strRef>
          </c:cat>
          <c:val>
            <c:numRef>
              <c:f>ENCUESTA!$B$17:$G$17</c:f>
              <c:numCache>
                <c:formatCode>0.00%</c:formatCode>
                <c:ptCount val="6"/>
                <c:pt idx="0">
                  <c:v>0.12</c:v>
                </c:pt>
                <c:pt idx="1">
                  <c:v>0.56999999999999995</c:v>
                </c:pt>
                <c:pt idx="2">
                  <c:v>0.22</c:v>
                </c:pt>
                <c:pt idx="3">
                  <c:v>0.04</c:v>
                </c:pt>
                <c:pt idx="4">
                  <c:v>0</c:v>
                </c:pt>
                <c:pt idx="5">
                  <c:v>0.05</c:v>
                </c:pt>
              </c:numCache>
            </c:numRef>
          </c:val>
          <c:extLst xmlns:c16r2="http://schemas.microsoft.com/office/drawing/2015/06/chart">
            <c:ext xmlns:c16="http://schemas.microsoft.com/office/drawing/2014/chart" uri="{C3380CC4-5D6E-409C-BE32-E72D297353CC}">
              <c16:uniqueId val="{00000004-A70E-4FC3-A0A2-4A21B243CE06}"/>
            </c:ext>
          </c:extLst>
        </c:ser>
        <c:dLbls>
          <c:showLegendKey val="0"/>
          <c:showVal val="0"/>
          <c:showCatName val="0"/>
          <c:showSerName val="0"/>
          <c:showPercent val="1"/>
          <c:showBubbleSize val="0"/>
          <c:showLeaderLines val="1"/>
        </c:dLbls>
      </c:pie3DChart>
    </c:plotArea>
    <c:legend>
      <c:legendPos val="r"/>
      <c:overlay val="0"/>
    </c:legend>
    <c:plotVisOnly val="1"/>
    <c:dispBlanksAs val="zero"/>
    <c:showDLblsOverMax val="0"/>
  </c:chart>
  <c:spPr>
    <a:solidFill>
      <a:schemeClr val="bg2">
        <a:lumMod val="90000"/>
      </a:schemeClr>
    </a:solidFill>
    <a:scene3d>
      <a:camera prst="orthographicFront"/>
      <a:lightRig rig="threePt" dir="t"/>
    </a:scene3d>
    <a:sp3d prstMaterial="metal">
      <a:bevelT/>
    </a:sp3d>
  </c:spPr>
  <c:printSettings>
    <c:headerFooter/>
    <c:pageMargins b="0.75000000000000155" l="0.70000000000000062" r="0.70000000000000062" t="0.75000000000000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400"/>
              <a:t>4. NECESIDADES</a:t>
            </a:r>
            <a:r>
              <a:rPr lang="es-CO" sz="1400" baseline="0"/>
              <a:t> INFORMÁTICAS</a:t>
            </a:r>
            <a:endParaRPr lang="es-CO" sz="1400"/>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spPr>
            <a:solidFill>
              <a:srgbClr val="FF0000"/>
            </a:solidFill>
            <a:scene3d>
              <a:camera prst="orthographicFront"/>
              <a:lightRig rig="threePt" dir="t"/>
            </a:scene3d>
            <a:sp3d prstMaterial="metal">
              <a:bevelT/>
            </a:sp3d>
          </c:spPr>
          <c:explosion val="25"/>
          <c:dPt>
            <c:idx val="0"/>
            <c:bubble3D val="0"/>
            <c:spPr>
              <a:solidFill>
                <a:schemeClr val="accent3">
                  <a:lumMod val="75000"/>
                </a:schemeClr>
              </a:solidFill>
              <a:scene3d>
                <a:camera prst="orthographicFront"/>
                <a:lightRig rig="threePt" dir="t"/>
              </a:scene3d>
              <a:sp3d prstMaterial="metal">
                <a:bevelT/>
              </a:sp3d>
            </c:spPr>
            <c:extLst xmlns:c16r2="http://schemas.microsoft.com/office/drawing/2015/06/chart">
              <c:ext xmlns:c16="http://schemas.microsoft.com/office/drawing/2014/chart" uri="{C3380CC4-5D6E-409C-BE32-E72D297353CC}">
                <c16:uniqueId val="{00000000-0213-48B0-9F2A-C0D7AC6F6197}"/>
              </c:ext>
            </c:extLst>
          </c:dPt>
          <c:dPt>
            <c:idx val="1"/>
            <c:bubble3D val="0"/>
            <c:spPr>
              <a:solidFill>
                <a:srgbClr val="FF0000"/>
              </a:solidFill>
              <a:scene3d>
                <a:camera prst="orthographicFront"/>
                <a:lightRig rig="threePt" dir="t"/>
              </a:scene3d>
              <a:sp3d prstMaterial="plastic">
                <a:bevelT/>
                <a:bevelB w="165100" prst="coolSlant"/>
              </a:sp3d>
            </c:spPr>
            <c:extLst xmlns:c16r2="http://schemas.microsoft.com/office/drawing/2015/06/chart">
              <c:ext xmlns:c16="http://schemas.microsoft.com/office/drawing/2014/chart" uri="{C3380CC4-5D6E-409C-BE32-E72D297353CC}">
                <c16:uniqueId val="{00000001-0213-48B0-9F2A-C0D7AC6F6197}"/>
              </c:ext>
            </c:extLst>
          </c:dPt>
          <c:dLbls>
            <c:dLbl>
              <c:idx val="1"/>
              <c:spPr/>
              <c:txPr>
                <a:bodyPr/>
                <a:lstStyle/>
                <a:p>
                  <a:pPr>
                    <a:defRPr sz="1400" b="1">
                      <a:solidFill>
                        <a:sysClr val="windowText" lastClr="000000"/>
                      </a:solidFill>
                    </a:defRPr>
                  </a:pPr>
                  <a:endParaRPr lang="es-CO"/>
                </a:p>
              </c:txPr>
              <c:showLegendKey val="0"/>
              <c:showVal val="0"/>
              <c:showCatName val="0"/>
              <c:showSerName val="0"/>
              <c:showPercent val="1"/>
              <c:showBubbleSize val="0"/>
            </c:dLbl>
            <c:spPr>
              <a:noFill/>
              <a:ln>
                <a:noFill/>
              </a:ln>
              <a:effectLst/>
            </c:spPr>
            <c:txPr>
              <a:bodyPr/>
              <a:lstStyle/>
              <a:p>
                <a:pPr>
                  <a:defRPr sz="1400" b="1">
                    <a:solidFill>
                      <a:schemeClr val="bg1"/>
                    </a:solidFill>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ENCUESTA!$B$25:$C$25</c:f>
              <c:strCache>
                <c:ptCount val="2"/>
                <c:pt idx="0">
                  <c:v>SI</c:v>
                </c:pt>
                <c:pt idx="1">
                  <c:v>NO</c:v>
                </c:pt>
              </c:strCache>
            </c:strRef>
          </c:cat>
          <c:val>
            <c:numRef>
              <c:f>ENCUESTA!$B$30:$C$30</c:f>
              <c:numCache>
                <c:formatCode>0.00%</c:formatCode>
                <c:ptCount val="2"/>
                <c:pt idx="0">
                  <c:v>0.90380000000000005</c:v>
                </c:pt>
                <c:pt idx="1">
                  <c:v>9.6199999999999994E-2</c:v>
                </c:pt>
              </c:numCache>
            </c:numRef>
          </c:val>
          <c:extLst xmlns:c16r2="http://schemas.microsoft.com/office/drawing/2015/06/chart">
            <c:ext xmlns:c16="http://schemas.microsoft.com/office/drawing/2014/chart" uri="{C3380CC4-5D6E-409C-BE32-E72D297353CC}">
              <c16:uniqueId val="{00000002-0213-48B0-9F2A-C0D7AC6F6197}"/>
            </c:ext>
          </c:extLst>
        </c:ser>
        <c:dLbls>
          <c:showLegendKey val="0"/>
          <c:showVal val="0"/>
          <c:showCatName val="0"/>
          <c:showSerName val="0"/>
          <c:showPercent val="1"/>
          <c:showBubbleSize val="0"/>
          <c:showLeaderLines val="1"/>
        </c:dLbls>
      </c:pie3DChart>
    </c:plotArea>
    <c:legend>
      <c:legendPos val="t"/>
      <c:legendEntry>
        <c:idx val="0"/>
        <c:txPr>
          <a:bodyPr/>
          <a:lstStyle/>
          <a:p>
            <a:pPr>
              <a:defRPr sz="1800" b="1" i="0"/>
            </a:pPr>
            <a:endParaRPr lang="es-CO"/>
          </a:p>
        </c:txPr>
      </c:legendEntry>
      <c:legendEntry>
        <c:idx val="1"/>
        <c:txPr>
          <a:bodyPr/>
          <a:lstStyle/>
          <a:p>
            <a:pPr>
              <a:defRPr sz="1800" b="1"/>
            </a:pPr>
            <a:endParaRPr lang="es-CO"/>
          </a:p>
        </c:txPr>
      </c:legendEntry>
      <c:layout>
        <c:manualLayout>
          <c:xMode val="edge"/>
          <c:yMode val="edge"/>
          <c:x val="0.29870136922539858"/>
          <c:y val="0.19720020997375318"/>
          <c:w val="0.40916540604838175"/>
          <c:h val="9.6442204724409453E-2"/>
        </c:manualLayout>
      </c:layout>
      <c:overlay val="0"/>
      <c:txPr>
        <a:bodyPr/>
        <a:lstStyle/>
        <a:p>
          <a:pPr>
            <a:defRPr sz="1800"/>
          </a:pPr>
          <a:endParaRPr lang="es-CO"/>
        </a:p>
      </c:txPr>
    </c:legend>
    <c:plotVisOnly val="1"/>
    <c:dispBlanksAs val="zero"/>
    <c:showDLblsOverMax val="0"/>
  </c:chart>
  <c:spPr>
    <a:solidFill>
      <a:schemeClr val="bg2">
        <a:lumMod val="90000"/>
      </a:schemeClr>
    </a:solidFill>
    <a:ln>
      <a:solidFill>
        <a:schemeClr val="bg1">
          <a:lumMod val="85000"/>
        </a:schemeClr>
      </a:solidFill>
    </a:ln>
    <a:scene3d>
      <a:camera prst="orthographicFront"/>
      <a:lightRig rig="threePt" dir="t"/>
    </a:scene3d>
    <a:sp3d>
      <a:bevelT/>
    </a:sp3d>
  </c:spPr>
  <c:printSettings>
    <c:headerFooter/>
    <c:pageMargins b="0.75000000000000155" l="0.70000000000000062" r="0.70000000000000062" t="0.75000000000000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5. INFRAESTRUCTURA</a:t>
            </a:r>
            <a:r>
              <a:rPr lang="en-US" sz="1400" baseline="0"/>
              <a:t> FÍSICA</a:t>
            </a:r>
            <a:endParaRPr lang="en-US" sz="1400"/>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plastic">
                <a:bevelT w="165100" prst="coolSlant"/>
              </a:sp3d>
            </c:spPr>
            <c:extLst xmlns:c16r2="http://schemas.microsoft.com/office/drawing/2015/06/chart">
              <c:ext xmlns:c16="http://schemas.microsoft.com/office/drawing/2014/chart" uri="{C3380CC4-5D6E-409C-BE32-E72D297353CC}">
                <c16:uniqueId val="{00000000-7A7D-4840-8873-53E9815DE680}"/>
              </c:ext>
            </c:extLst>
          </c:dPt>
          <c:dPt>
            <c:idx val="1"/>
            <c:bubble3D val="0"/>
            <c:spPr>
              <a:solidFill>
                <a:srgbClr val="C00000"/>
              </a:solidFill>
              <a:scene3d>
                <a:camera prst="orthographicFront"/>
                <a:lightRig rig="threePt" dir="t"/>
              </a:scene3d>
              <a:sp3d prstMaterial="metal">
                <a:bevelT w="165100" prst="coolSlant"/>
                <a:bevelB w="165100" prst="coolSlant"/>
              </a:sp3d>
            </c:spPr>
            <c:extLst xmlns:c16r2="http://schemas.microsoft.com/office/drawing/2015/06/chart">
              <c:ext xmlns:c16="http://schemas.microsoft.com/office/drawing/2014/chart" uri="{C3380CC4-5D6E-409C-BE32-E72D297353CC}">
                <c16:uniqueId val="{00000001-7A7D-4840-8873-53E9815DE680}"/>
              </c:ext>
            </c:extLst>
          </c:dPt>
          <c:dLbls>
            <c:spPr>
              <a:noFill/>
              <a:ln>
                <a:noFill/>
              </a:ln>
              <a:effectLst/>
            </c:spPr>
            <c:txPr>
              <a:bodyPr/>
              <a:lstStyle/>
              <a:p>
                <a:pPr>
                  <a:defRPr sz="1400" b="1">
                    <a:solidFill>
                      <a:schemeClr val="bg1"/>
                    </a:solidFill>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ENCUESTA!$B$34:$C$34</c:f>
              <c:strCache>
                <c:ptCount val="2"/>
                <c:pt idx="0">
                  <c:v>SI</c:v>
                </c:pt>
                <c:pt idx="1">
                  <c:v>NO</c:v>
                </c:pt>
              </c:strCache>
            </c:strRef>
          </c:cat>
          <c:val>
            <c:numRef>
              <c:f>ENCUESTA!$B$43:$C$43</c:f>
              <c:numCache>
                <c:formatCode>0.00%</c:formatCode>
                <c:ptCount val="2"/>
                <c:pt idx="0">
                  <c:v>0.77200000000000002</c:v>
                </c:pt>
                <c:pt idx="1">
                  <c:v>0.22800000000000001</c:v>
                </c:pt>
              </c:numCache>
            </c:numRef>
          </c:val>
          <c:extLst xmlns:c16r2="http://schemas.microsoft.com/office/drawing/2015/06/chart">
            <c:ext xmlns:c16="http://schemas.microsoft.com/office/drawing/2014/chart" uri="{C3380CC4-5D6E-409C-BE32-E72D297353CC}">
              <c16:uniqueId val="{00000002-7A7D-4840-8873-53E9815DE680}"/>
            </c:ext>
          </c:extLst>
        </c:ser>
        <c:dLbls>
          <c:showLegendKey val="0"/>
          <c:showVal val="0"/>
          <c:showCatName val="0"/>
          <c:showSerName val="0"/>
          <c:showPercent val="1"/>
          <c:showBubbleSize val="0"/>
          <c:showLeaderLines val="1"/>
        </c:dLbls>
      </c:pie3DChart>
    </c:plotArea>
    <c:legend>
      <c:legendPos val="t"/>
      <c:layout>
        <c:manualLayout>
          <c:xMode val="edge"/>
          <c:yMode val="edge"/>
          <c:x val="0.37798377475542955"/>
          <c:y val="0.15172576832151297"/>
          <c:w val="0.28342638988308416"/>
          <c:h val="8.5498408443625398E-2"/>
        </c:manualLayout>
      </c:layout>
      <c:overlay val="0"/>
      <c:txPr>
        <a:bodyPr/>
        <a:lstStyle/>
        <a:p>
          <a:pPr rtl="0">
            <a:defRPr sz="1800" b="1"/>
          </a:pPr>
          <a:endParaRPr lang="es-CO"/>
        </a:p>
      </c:txPr>
    </c:legend>
    <c:plotVisOnly val="1"/>
    <c:dispBlanksAs val="zero"/>
    <c:showDLblsOverMax val="0"/>
  </c:chart>
  <c:spPr>
    <a:solidFill>
      <a:schemeClr val="bg2">
        <a:lumMod val="90000"/>
      </a:schemeClr>
    </a:solidFill>
    <a:scene3d>
      <a:camera prst="orthographicFront"/>
      <a:lightRig rig="threePt" dir="t"/>
    </a:scene3d>
    <a:sp3d>
      <a:bevelT w="165100" prst="coolSlant"/>
    </a:sp3d>
  </c:spPr>
  <c:printSettings>
    <c:headerFooter/>
    <c:pageMargins b="0.75000000000000155" l="0.70000000000000062" r="0.70000000000000062" t="0.750000000000001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6. COMPONENTE TALENTO</a:t>
            </a:r>
            <a:r>
              <a:rPr lang="es-CO" sz="1400" baseline="0"/>
              <a:t> HUMANO</a:t>
            </a:r>
            <a:endParaRPr lang="es-CO" sz="1400"/>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xmlns:c16r2="http://schemas.microsoft.com/office/drawing/2015/06/chart">
              <c:ext xmlns:c16="http://schemas.microsoft.com/office/drawing/2014/chart" uri="{C3380CC4-5D6E-409C-BE32-E72D297353CC}">
                <c16:uniqueId val="{00000000-7ED5-4F90-8202-E1F2CCB59785}"/>
              </c:ext>
            </c:extLst>
          </c:dPt>
          <c:dPt>
            <c:idx val="1"/>
            <c:bubble3D val="0"/>
            <c:spPr>
              <a:solidFill>
                <a:srgbClr val="C00000"/>
              </a:solidFill>
              <a:scene3d>
                <a:camera prst="orthographicFront"/>
                <a:lightRig rig="threePt" dir="t"/>
              </a:scene3d>
              <a:sp3d>
                <a:bevelT w="165100" prst="coolSlant"/>
                <a:bevelB w="165100" prst="coolSlant"/>
              </a:sp3d>
            </c:spPr>
            <c:extLst xmlns:c16r2="http://schemas.microsoft.com/office/drawing/2015/06/chart">
              <c:ext xmlns:c16="http://schemas.microsoft.com/office/drawing/2014/chart" uri="{C3380CC4-5D6E-409C-BE32-E72D297353CC}">
                <c16:uniqueId val="{00000001-7ED5-4F90-8202-E1F2CCB59785}"/>
              </c:ext>
            </c:extLst>
          </c:dPt>
          <c:dLbls>
            <c:dLbl>
              <c:idx val="0"/>
              <c:layout>
                <c:manualLayout>
                  <c:x val="1.9493528356184103E-2"/>
                  <c:y val="-2.32721605151378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ED5-4F90-8202-E1F2CCB59785}"/>
                </c:ext>
              </c:extLst>
            </c:dLbl>
            <c:spPr>
              <a:noFill/>
              <a:ln>
                <a:noFill/>
              </a:ln>
              <a:effectLst/>
            </c:spPr>
            <c:txPr>
              <a:bodyPr/>
              <a:lstStyle/>
              <a:p>
                <a:pPr>
                  <a:defRPr sz="1400" b="1">
                    <a:solidFill>
                      <a:sysClr val="windowText" lastClr="000000"/>
                    </a:solidFill>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ENCUESTA!$B$47:$C$47</c:f>
              <c:strCache>
                <c:ptCount val="2"/>
                <c:pt idx="0">
                  <c:v>SI</c:v>
                </c:pt>
                <c:pt idx="1">
                  <c:v>NO</c:v>
                </c:pt>
              </c:strCache>
            </c:strRef>
          </c:cat>
          <c:val>
            <c:numRef>
              <c:f>ENCUESTA!$B$52:$C$52</c:f>
              <c:numCache>
                <c:formatCode>0%</c:formatCode>
                <c:ptCount val="2"/>
                <c:pt idx="0">
                  <c:v>0.66</c:v>
                </c:pt>
                <c:pt idx="1">
                  <c:v>0.34</c:v>
                </c:pt>
              </c:numCache>
            </c:numRef>
          </c:val>
          <c:extLst xmlns:c16r2="http://schemas.microsoft.com/office/drawing/2015/06/chart">
            <c:ext xmlns:c16="http://schemas.microsoft.com/office/drawing/2014/chart" uri="{C3380CC4-5D6E-409C-BE32-E72D297353CC}">
              <c16:uniqueId val="{00000002-7ED5-4F90-8202-E1F2CCB59785}"/>
            </c:ext>
          </c:extLst>
        </c:ser>
        <c:dLbls>
          <c:showLegendKey val="0"/>
          <c:showVal val="0"/>
          <c:showCatName val="0"/>
          <c:showSerName val="0"/>
          <c:showPercent val="1"/>
          <c:showBubbleSize val="0"/>
          <c:showLeaderLines val="1"/>
        </c:dLbls>
      </c:pie3DChart>
    </c:plotArea>
    <c:legend>
      <c:legendPos val="t"/>
      <c:layout>
        <c:manualLayout>
          <c:xMode val="edge"/>
          <c:yMode val="edge"/>
          <c:x val="0.40033836395450723"/>
          <c:y val="0.25412398192494123"/>
          <c:w val="0.24654527559055159"/>
          <c:h val="0.15751873799280314"/>
        </c:manualLayout>
      </c:layout>
      <c:overlay val="0"/>
      <c:txPr>
        <a:bodyPr/>
        <a:lstStyle/>
        <a:p>
          <a:pPr rtl="0">
            <a:defRPr sz="1800" b="1"/>
          </a:pPr>
          <a:endParaRPr lang="es-CO"/>
        </a:p>
      </c:txPr>
    </c:legend>
    <c:plotVisOnly val="1"/>
    <c:dispBlanksAs val="zero"/>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000000000000155" l="0.70000000000000062" r="0.70000000000000062" t="0.750000000000001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7. ADMINISTRACIÓN</a:t>
            </a:r>
            <a:r>
              <a:rPr lang="es-CO" sz="1400" baseline="0"/>
              <a:t> DE LA CARRERA JUDICIAL</a:t>
            </a:r>
            <a:endParaRPr lang="es-CO" sz="1400"/>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xmlns:c16r2="http://schemas.microsoft.com/office/drawing/2015/06/chart">
              <c:ext xmlns:c16="http://schemas.microsoft.com/office/drawing/2014/chart" uri="{C3380CC4-5D6E-409C-BE32-E72D297353CC}">
                <c16:uniqueId val="{00000000-D64C-4CF5-97BD-B4D08BBA782C}"/>
              </c:ext>
            </c:extLst>
          </c:dPt>
          <c:dPt>
            <c:idx val="1"/>
            <c:bubble3D val="0"/>
            <c:spPr>
              <a:solidFill>
                <a:srgbClr val="C00000"/>
              </a:solidFill>
              <a:scene3d>
                <a:camera prst="orthographicFront"/>
                <a:lightRig rig="threePt" dir="t"/>
              </a:scene3d>
              <a:sp3d>
                <a:bevelT w="165100" prst="coolSlant"/>
                <a:bevelB w="165100" prst="coolSlant"/>
              </a:sp3d>
            </c:spPr>
            <c:extLst xmlns:c16r2="http://schemas.microsoft.com/office/drawing/2015/06/chart">
              <c:ext xmlns:c16="http://schemas.microsoft.com/office/drawing/2014/chart" uri="{C3380CC4-5D6E-409C-BE32-E72D297353CC}">
                <c16:uniqueId val="{00000001-D64C-4CF5-97BD-B4D08BBA782C}"/>
              </c:ext>
            </c:extLst>
          </c:dPt>
          <c:dLbls>
            <c:spPr>
              <a:noFill/>
              <a:ln>
                <a:noFill/>
              </a:ln>
              <a:effectLst/>
            </c:spPr>
            <c:txPr>
              <a:bodyPr/>
              <a:lstStyle/>
              <a:p>
                <a:pPr>
                  <a:defRPr sz="1400" b="1">
                    <a:solidFill>
                      <a:sysClr val="windowText" lastClr="000000"/>
                    </a:solidFill>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ENCUESTA!$B$56:$C$56</c:f>
              <c:strCache>
                <c:ptCount val="2"/>
                <c:pt idx="0">
                  <c:v>SI</c:v>
                </c:pt>
                <c:pt idx="1">
                  <c:v>NO</c:v>
                </c:pt>
              </c:strCache>
            </c:strRef>
          </c:cat>
          <c:val>
            <c:numRef>
              <c:f>ENCUESTA!$B$63:$C$63</c:f>
              <c:numCache>
                <c:formatCode>0.00%</c:formatCode>
                <c:ptCount val="2"/>
                <c:pt idx="0">
                  <c:v>0.76529999999999998</c:v>
                </c:pt>
                <c:pt idx="1">
                  <c:v>0.23469999999999999</c:v>
                </c:pt>
              </c:numCache>
            </c:numRef>
          </c:val>
          <c:extLst xmlns:c16r2="http://schemas.microsoft.com/office/drawing/2015/06/chart">
            <c:ext xmlns:c16="http://schemas.microsoft.com/office/drawing/2014/chart" uri="{C3380CC4-5D6E-409C-BE32-E72D297353CC}">
              <c16:uniqueId val="{00000002-D64C-4CF5-97BD-B4D08BBA782C}"/>
            </c:ext>
          </c:extLst>
        </c:ser>
        <c:dLbls>
          <c:showLegendKey val="0"/>
          <c:showVal val="0"/>
          <c:showCatName val="1"/>
          <c:showSerName val="0"/>
          <c:showPercent val="1"/>
          <c:showBubbleSize val="0"/>
          <c:showLeaderLines val="1"/>
        </c:dLbls>
      </c:pie3DChart>
    </c:plotArea>
    <c:plotVisOnly val="1"/>
    <c:dispBlanksAs val="zero"/>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000000000000155" l="0.70000000000000062" r="0.70000000000000062" t="0.75000000000000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8. PLAN</a:t>
            </a:r>
            <a:r>
              <a:rPr lang="es-CO" sz="1400" baseline="0"/>
              <a:t> SECTORIAL DE DESARROLLO</a:t>
            </a:r>
            <a:endParaRPr lang="es-CO" sz="1400"/>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xmlns:c16r2="http://schemas.microsoft.com/office/drawing/2015/06/chart">
              <c:ext xmlns:c16="http://schemas.microsoft.com/office/drawing/2014/chart" uri="{C3380CC4-5D6E-409C-BE32-E72D297353CC}">
                <c16:uniqueId val="{00000000-DB25-43E2-8BC9-0ED6FD8A32C3}"/>
              </c:ext>
            </c:extLst>
          </c:dPt>
          <c:dPt>
            <c:idx val="1"/>
            <c:bubble3D val="0"/>
            <c:spPr>
              <a:solidFill>
                <a:srgbClr val="C00000"/>
              </a:solidFill>
              <a:scene3d>
                <a:camera prst="orthographicFront"/>
                <a:lightRig rig="threePt" dir="t"/>
              </a:scene3d>
              <a:sp3d>
                <a:bevelT w="165100" prst="coolSlant"/>
                <a:bevelB w="165100" prst="coolSlant"/>
              </a:sp3d>
            </c:spPr>
            <c:extLst xmlns:c16r2="http://schemas.microsoft.com/office/drawing/2015/06/chart">
              <c:ext xmlns:c16="http://schemas.microsoft.com/office/drawing/2014/chart" uri="{C3380CC4-5D6E-409C-BE32-E72D297353CC}">
                <c16:uniqueId val="{00000001-DB25-43E2-8BC9-0ED6FD8A32C3}"/>
              </c:ext>
            </c:extLst>
          </c:dPt>
          <c:dLbls>
            <c:dLbl>
              <c:idx val="0"/>
              <c:spPr/>
              <c:txPr>
                <a:bodyPr/>
                <a:lstStyle/>
                <a:p>
                  <a:pPr>
                    <a:defRPr sz="1400" b="1">
                      <a:solidFill>
                        <a:sysClr val="windowText" lastClr="000000"/>
                      </a:solidFill>
                    </a:defRPr>
                  </a:pPr>
                  <a:endParaRPr lang="es-CO"/>
                </a:p>
              </c:txPr>
              <c:showLegendKey val="0"/>
              <c:showVal val="0"/>
              <c:showCatName val="0"/>
              <c:showSerName val="0"/>
              <c:showPercent val="1"/>
              <c:showBubbleSize val="0"/>
            </c:dLbl>
            <c:dLbl>
              <c:idx val="1"/>
              <c:layout>
                <c:manualLayout>
                  <c:x val="9.1650191394467867E-2"/>
                  <c:y val="1.1833590894596119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B25-43E2-8BC9-0ED6FD8A32C3}"/>
                </c:ext>
              </c:extLst>
            </c:dLbl>
            <c:spPr>
              <a:noFill/>
              <a:ln>
                <a:noFill/>
              </a:ln>
              <a:effectLst/>
            </c:spPr>
            <c:txPr>
              <a:bodyPr/>
              <a:lstStyle/>
              <a:p>
                <a:pPr>
                  <a:defRPr sz="1400" b="1">
                    <a:solidFill>
                      <a:schemeClr val="bg1"/>
                    </a:solidFill>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ENCUESTA!$B$67:$C$67</c:f>
              <c:strCache>
                <c:ptCount val="2"/>
                <c:pt idx="0">
                  <c:v>SI</c:v>
                </c:pt>
                <c:pt idx="1">
                  <c:v>NO</c:v>
                </c:pt>
              </c:strCache>
            </c:strRef>
          </c:cat>
          <c:val>
            <c:numRef>
              <c:f>ENCUESTA!$B$70:$C$70</c:f>
              <c:numCache>
                <c:formatCode>0.00%</c:formatCode>
                <c:ptCount val="2"/>
                <c:pt idx="0">
                  <c:v>0.5625</c:v>
                </c:pt>
                <c:pt idx="1">
                  <c:v>0.4375</c:v>
                </c:pt>
              </c:numCache>
            </c:numRef>
          </c:val>
          <c:extLst xmlns:c16r2="http://schemas.microsoft.com/office/drawing/2015/06/chart">
            <c:ext xmlns:c16="http://schemas.microsoft.com/office/drawing/2014/chart" uri="{C3380CC4-5D6E-409C-BE32-E72D297353CC}">
              <c16:uniqueId val="{00000002-DB25-43E2-8BC9-0ED6FD8A32C3}"/>
            </c:ext>
          </c:extLst>
        </c:ser>
        <c:dLbls>
          <c:showLegendKey val="0"/>
          <c:showVal val="0"/>
          <c:showCatName val="0"/>
          <c:showSerName val="0"/>
          <c:showPercent val="1"/>
          <c:showBubbleSize val="0"/>
          <c:showLeaderLines val="1"/>
        </c:dLbls>
      </c:pie3DChart>
    </c:plotArea>
    <c:legend>
      <c:legendPos val="t"/>
      <c:overlay val="0"/>
      <c:txPr>
        <a:bodyPr/>
        <a:lstStyle/>
        <a:p>
          <a:pPr>
            <a:defRPr sz="1600"/>
          </a:pPr>
          <a:endParaRPr lang="es-CO"/>
        </a:p>
      </c:txPr>
    </c:legend>
    <c:plotVisOnly val="1"/>
    <c:dispBlanksAs val="zero"/>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000000000000155" l="0.70000000000000062" r="0.70000000000000062" t="0.750000000000001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9</a:t>
            </a:r>
            <a:r>
              <a:rPr lang="es-CO" sz="1400" baseline="0"/>
              <a:t>. SALUD OCUPACIONAL</a:t>
            </a:r>
            <a:endParaRPr lang="es-CO" sz="1400"/>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xmlns:c16r2="http://schemas.microsoft.com/office/drawing/2015/06/chart">
              <c:ext xmlns:c16="http://schemas.microsoft.com/office/drawing/2014/chart" uri="{C3380CC4-5D6E-409C-BE32-E72D297353CC}">
                <c16:uniqueId val="{00000000-691C-4D43-ABAC-569B6458723F}"/>
              </c:ext>
            </c:extLst>
          </c:dPt>
          <c:dPt>
            <c:idx val="1"/>
            <c:bubble3D val="0"/>
            <c:spPr>
              <a:solidFill>
                <a:srgbClr val="C00000"/>
              </a:solidFill>
              <a:scene3d>
                <a:camera prst="orthographicFront"/>
                <a:lightRig rig="threePt" dir="t"/>
              </a:scene3d>
              <a:sp3d>
                <a:bevelT w="165100" prst="coolSlant"/>
                <a:bevelB w="165100" prst="coolSlant"/>
              </a:sp3d>
            </c:spPr>
            <c:extLst xmlns:c16r2="http://schemas.microsoft.com/office/drawing/2015/06/chart">
              <c:ext xmlns:c16="http://schemas.microsoft.com/office/drawing/2014/chart" uri="{C3380CC4-5D6E-409C-BE32-E72D297353CC}">
                <c16:uniqueId val="{00000001-691C-4D43-ABAC-569B6458723F}"/>
              </c:ext>
            </c:extLst>
          </c:dPt>
          <c:dLbls>
            <c:dLbl>
              <c:idx val="0"/>
              <c:spPr>
                <a:scene3d>
                  <a:camera prst="orthographicFront"/>
                  <a:lightRig rig="threePt" dir="t"/>
                </a:scene3d>
                <a:sp3d>
                  <a:bevelT w="165100" prst="coolSlant"/>
                </a:sp3d>
              </c:spPr>
              <c:txPr>
                <a:bodyPr/>
                <a:lstStyle/>
                <a:p>
                  <a:pPr>
                    <a:defRPr sz="1400" b="1">
                      <a:solidFill>
                        <a:schemeClr val="bg1"/>
                      </a:solidFill>
                    </a:defRPr>
                  </a:pPr>
                  <a:endParaRPr lang="es-CO"/>
                </a:p>
              </c:txPr>
              <c:showLegendKey val="0"/>
              <c:showVal val="0"/>
              <c:showCatName val="0"/>
              <c:showSerName val="0"/>
              <c:showPercent val="1"/>
              <c:showBubbleSize val="0"/>
            </c:dLbl>
            <c:spPr>
              <a:scene3d>
                <a:camera prst="orthographicFront"/>
                <a:lightRig rig="threePt" dir="t"/>
              </a:scene3d>
              <a:sp3d>
                <a:bevelT w="165100" prst="coolSlant"/>
              </a:sp3d>
            </c:spPr>
            <c:txPr>
              <a:bodyPr/>
              <a:lstStyle/>
              <a:p>
                <a:pPr>
                  <a:defRPr sz="1400" b="1">
                    <a:solidFill>
                      <a:sysClr val="windowText" lastClr="000000"/>
                    </a:solidFill>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ENCUESTA!$B$74:$C$74</c:f>
              <c:strCache>
                <c:ptCount val="2"/>
                <c:pt idx="0">
                  <c:v>SI</c:v>
                </c:pt>
                <c:pt idx="1">
                  <c:v>NO</c:v>
                </c:pt>
              </c:strCache>
            </c:strRef>
          </c:cat>
          <c:val>
            <c:numRef>
              <c:f>ENCUESTA!$B$81:$C$81</c:f>
              <c:numCache>
                <c:formatCode>0.00%</c:formatCode>
                <c:ptCount val="2"/>
                <c:pt idx="0">
                  <c:v>0.76519999999999999</c:v>
                </c:pt>
                <c:pt idx="1">
                  <c:v>0.23480000000000001</c:v>
                </c:pt>
              </c:numCache>
            </c:numRef>
          </c:val>
          <c:extLst xmlns:c16r2="http://schemas.microsoft.com/office/drawing/2015/06/chart">
            <c:ext xmlns:c16="http://schemas.microsoft.com/office/drawing/2014/chart" uri="{C3380CC4-5D6E-409C-BE32-E72D297353CC}">
              <c16:uniqueId val="{00000002-691C-4D43-ABAC-569B6458723F}"/>
            </c:ext>
          </c:extLst>
        </c:ser>
        <c:dLbls>
          <c:showLegendKey val="0"/>
          <c:showVal val="0"/>
          <c:showCatName val="0"/>
          <c:showSerName val="0"/>
          <c:showPercent val="1"/>
          <c:showBubbleSize val="0"/>
          <c:showLeaderLines val="1"/>
        </c:dLbls>
      </c:pie3DChart>
    </c:plotArea>
    <c:legend>
      <c:legendPos val="t"/>
      <c:layout>
        <c:manualLayout>
          <c:xMode val="edge"/>
          <c:yMode val="edge"/>
          <c:x val="0.40033836395450723"/>
          <c:y val="0.25412398192494123"/>
          <c:w val="0.24654527559055159"/>
          <c:h val="0.15751873799280314"/>
        </c:manualLayout>
      </c:layout>
      <c:overlay val="0"/>
      <c:txPr>
        <a:bodyPr/>
        <a:lstStyle/>
        <a:p>
          <a:pPr rtl="0">
            <a:defRPr sz="1800" b="1"/>
          </a:pPr>
          <a:endParaRPr lang="es-CO"/>
        </a:p>
      </c:txPr>
    </c:legend>
    <c:plotVisOnly val="1"/>
    <c:dispBlanksAs val="zero"/>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000000000000155" l="0.70000000000000062" r="0.70000000000000062" t="0.750000000000001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10</xdr:col>
      <xdr:colOff>4762</xdr:colOff>
      <xdr:row>0</xdr:row>
      <xdr:rowOff>57151</xdr:rowOff>
    </xdr:from>
    <xdr:to>
      <xdr:col>17</xdr:col>
      <xdr:colOff>309562</xdr:colOff>
      <xdr:row>7</xdr:row>
      <xdr:rowOff>9526</xdr:rowOff>
    </xdr:to>
    <xdr:graphicFrame macro="">
      <xdr:nvGraphicFramePr>
        <xdr:cNvPr id="7" name="6 Gráfico">
          <a:extLst>
            <a:ext uri="{FF2B5EF4-FFF2-40B4-BE49-F238E27FC236}">
              <a16:creationId xmlns=""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44372</xdr:colOff>
      <xdr:row>7</xdr:row>
      <xdr:rowOff>89905</xdr:rowOff>
    </xdr:from>
    <xdr:to>
      <xdr:col>17</xdr:col>
      <xdr:colOff>406322</xdr:colOff>
      <xdr:row>12</xdr:row>
      <xdr:rowOff>58079</xdr:rowOff>
    </xdr:to>
    <xdr:graphicFrame macro="">
      <xdr:nvGraphicFramePr>
        <xdr:cNvPr id="3" name="2 Gráfico">
          <a:extLst>
            <a:ext uri="{FF2B5EF4-FFF2-40B4-BE49-F238E27FC236}">
              <a16:creationId xmlns=""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38099</xdr:colOff>
      <xdr:row>12</xdr:row>
      <xdr:rowOff>209549</xdr:rowOff>
    </xdr:from>
    <xdr:to>
      <xdr:col>17</xdr:col>
      <xdr:colOff>361950</xdr:colOff>
      <xdr:row>21</xdr:row>
      <xdr:rowOff>38100</xdr:rowOff>
    </xdr:to>
    <xdr:graphicFrame macro="">
      <xdr:nvGraphicFramePr>
        <xdr:cNvPr id="4" name="3 Gráfico">
          <a:extLst>
            <a:ext uri="{FF2B5EF4-FFF2-40B4-BE49-F238E27FC236}">
              <a16:creationId xmlns=""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504825</xdr:colOff>
      <xdr:row>19</xdr:row>
      <xdr:rowOff>28575</xdr:rowOff>
    </xdr:from>
    <xdr:to>
      <xdr:col>2</xdr:col>
      <xdr:colOff>171450</xdr:colOff>
      <xdr:row>22</xdr:row>
      <xdr:rowOff>76200</xdr:rowOff>
    </xdr:to>
    <xdr:sp macro="" textlink="">
      <xdr:nvSpPr>
        <xdr:cNvPr id="14" name="13 Flecha abajo">
          <a:extLst>
            <a:ext uri="{FF2B5EF4-FFF2-40B4-BE49-F238E27FC236}">
              <a16:creationId xmlns="" xmlns:a16="http://schemas.microsoft.com/office/drawing/2014/main" id="{00000000-0008-0000-0000-00000E000000}"/>
            </a:ext>
          </a:extLst>
        </xdr:cNvPr>
        <xdr:cNvSpPr/>
      </xdr:nvSpPr>
      <xdr:spPr>
        <a:xfrm>
          <a:off x="4733925" y="4924425"/>
          <a:ext cx="714375" cy="742950"/>
        </a:xfrm>
        <a:prstGeom prst="downArrow">
          <a:avLst/>
        </a:prstGeom>
        <a:solidFill>
          <a:srgbClr val="FFFF00"/>
        </a:solidFill>
        <a:scene3d>
          <a:camera prst="orthographicFront"/>
          <a:lightRig rig="sunset" dir="t"/>
        </a:scene3d>
        <a:sp3d extrusionH="76200" prstMaterial="metal">
          <a:bevelT/>
          <a:bevelB w="165100" prst="coolSlant"/>
          <a:extrusionClr>
            <a:srgbClr val="92D050"/>
          </a:extrusion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133349</xdr:colOff>
      <xdr:row>21</xdr:row>
      <xdr:rowOff>114300</xdr:rowOff>
    </xdr:from>
    <xdr:to>
      <xdr:col>10</xdr:col>
      <xdr:colOff>323850</xdr:colOff>
      <xdr:row>31</xdr:row>
      <xdr:rowOff>38100</xdr:rowOff>
    </xdr:to>
    <xdr:graphicFrame macro="">
      <xdr:nvGraphicFramePr>
        <xdr:cNvPr id="17" name="16 Gráfico">
          <a:extLst>
            <a:ext uri="{FF2B5EF4-FFF2-40B4-BE49-F238E27FC236}">
              <a16:creationId xmlns=""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180975</xdr:colOff>
      <xdr:row>32</xdr:row>
      <xdr:rowOff>28575</xdr:rowOff>
    </xdr:from>
    <xdr:to>
      <xdr:col>11</xdr:col>
      <xdr:colOff>352425</xdr:colOff>
      <xdr:row>43</xdr:row>
      <xdr:rowOff>28574</xdr:rowOff>
    </xdr:to>
    <xdr:graphicFrame macro="">
      <xdr:nvGraphicFramePr>
        <xdr:cNvPr id="18" name="17 Gráfico">
          <a:extLst>
            <a:ext uri="{FF2B5EF4-FFF2-40B4-BE49-F238E27FC236}">
              <a16:creationId xmlns=""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190500</xdr:colOff>
      <xdr:row>44</xdr:row>
      <xdr:rowOff>66674</xdr:rowOff>
    </xdr:from>
    <xdr:to>
      <xdr:col>12</xdr:col>
      <xdr:colOff>133350</xdr:colOff>
      <xdr:row>52</xdr:row>
      <xdr:rowOff>152399</xdr:rowOff>
    </xdr:to>
    <xdr:graphicFrame macro="">
      <xdr:nvGraphicFramePr>
        <xdr:cNvPr id="19" name="18 Gráfico">
          <a:extLst>
            <a:ext uri="{FF2B5EF4-FFF2-40B4-BE49-F238E27FC236}">
              <a16:creationId xmlns="" xmlns:a16="http://schemas.microsoft.com/office/drawing/2014/main" id="{00000000-0008-0000-00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38101</xdr:colOff>
      <xdr:row>54</xdr:row>
      <xdr:rowOff>76200</xdr:rowOff>
    </xdr:from>
    <xdr:to>
      <xdr:col>12</xdr:col>
      <xdr:colOff>133351</xdr:colOff>
      <xdr:row>62</xdr:row>
      <xdr:rowOff>47625</xdr:rowOff>
    </xdr:to>
    <xdr:graphicFrame macro="">
      <xdr:nvGraphicFramePr>
        <xdr:cNvPr id="21" name="20 Gráfico">
          <a:extLst>
            <a:ext uri="{FF2B5EF4-FFF2-40B4-BE49-F238E27FC236}">
              <a16:creationId xmlns=""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114300</xdr:colOff>
      <xdr:row>63</xdr:row>
      <xdr:rowOff>0</xdr:rowOff>
    </xdr:from>
    <xdr:to>
      <xdr:col>12</xdr:col>
      <xdr:colOff>209550</xdr:colOff>
      <xdr:row>72</xdr:row>
      <xdr:rowOff>133350</xdr:rowOff>
    </xdr:to>
    <xdr:graphicFrame macro="">
      <xdr:nvGraphicFramePr>
        <xdr:cNvPr id="22" name="21 Gráfico">
          <a:extLst>
            <a:ext uri="{FF2B5EF4-FFF2-40B4-BE49-F238E27FC236}">
              <a16:creationId xmlns=""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66675</xdr:colOff>
      <xdr:row>73</xdr:row>
      <xdr:rowOff>95250</xdr:rowOff>
    </xdr:from>
    <xdr:to>
      <xdr:col>12</xdr:col>
      <xdr:colOff>161925</xdr:colOff>
      <xdr:row>83</xdr:row>
      <xdr:rowOff>104775</xdr:rowOff>
    </xdr:to>
    <xdr:graphicFrame macro="">
      <xdr:nvGraphicFramePr>
        <xdr:cNvPr id="23" name="22 Gráfico">
          <a:extLst>
            <a:ext uri="{FF2B5EF4-FFF2-40B4-BE49-F238E27FC236}">
              <a16:creationId xmlns=""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46464</xdr:colOff>
      <xdr:row>84</xdr:row>
      <xdr:rowOff>34847</xdr:rowOff>
    </xdr:from>
    <xdr:to>
      <xdr:col>12</xdr:col>
      <xdr:colOff>295275</xdr:colOff>
      <xdr:row>94</xdr:row>
      <xdr:rowOff>47625</xdr:rowOff>
    </xdr:to>
    <xdr:graphicFrame macro="">
      <xdr:nvGraphicFramePr>
        <xdr:cNvPr id="24" name="23 Gráfico">
          <a:extLst>
            <a:ext uri="{FF2B5EF4-FFF2-40B4-BE49-F238E27FC236}">
              <a16:creationId xmlns=""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361950</xdr:colOff>
      <xdr:row>54</xdr:row>
      <xdr:rowOff>9524</xdr:rowOff>
    </xdr:from>
    <xdr:to>
      <xdr:col>19</xdr:col>
      <xdr:colOff>419100</xdr:colOff>
      <xdr:row>60</xdr:row>
      <xdr:rowOff>180974</xdr:rowOff>
    </xdr:to>
    <xdr:graphicFrame macro="">
      <xdr:nvGraphicFramePr>
        <xdr:cNvPr id="2" name="1 Gráfico">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352425</xdr:colOff>
      <xdr:row>44</xdr:row>
      <xdr:rowOff>76200</xdr:rowOff>
    </xdr:from>
    <xdr:to>
      <xdr:col>20</xdr:col>
      <xdr:colOff>28575</xdr:colOff>
      <xdr:row>52</xdr:row>
      <xdr:rowOff>161925</xdr:rowOff>
    </xdr:to>
    <xdr:graphicFrame macro="">
      <xdr:nvGraphicFramePr>
        <xdr:cNvPr id="16" name="15 Gráfico">
          <a:extLst>
            <a:ext uri="{FF2B5EF4-FFF2-40B4-BE49-F238E27FC236}">
              <a16:creationId xmlns=""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M97"/>
  <sheetViews>
    <sheetView topLeftCell="B95" zoomScale="82" zoomScaleNormal="82" workbookViewId="0">
      <selection activeCell="O72" sqref="O72"/>
    </sheetView>
  </sheetViews>
  <sheetFormatPr baseColWidth="10" defaultColWidth="9.140625" defaultRowHeight="15" x14ac:dyDescent="0.25"/>
  <cols>
    <col min="1" max="1" width="86.7109375" style="2" bestFit="1" customWidth="1"/>
    <col min="2" max="2" width="15.7109375" style="2" bestFit="1" customWidth="1"/>
    <col min="3" max="3" width="11.5703125" style="2" customWidth="1"/>
    <col min="4" max="4" width="13.28515625" style="2" customWidth="1"/>
    <col min="5" max="5" width="13.140625" style="2" customWidth="1"/>
    <col min="6" max="6" width="9.7109375" style="2" customWidth="1"/>
    <col min="7" max="7" width="9.5703125" style="2" customWidth="1"/>
    <col min="8" max="8" width="15.42578125" style="2" customWidth="1"/>
    <col min="9" max="12" width="9.140625" style="2"/>
    <col min="13" max="13" width="9.42578125" style="2" bestFit="1" customWidth="1"/>
    <col min="14" max="16384" width="9.140625" style="2"/>
  </cols>
  <sheetData>
    <row r="2" spans="1:13" x14ac:dyDescent="0.25">
      <c r="A2" s="101" t="s">
        <v>0</v>
      </c>
      <c r="B2" s="102"/>
      <c r="C2" s="102"/>
      <c r="D2" s="38"/>
      <c r="E2" s="39"/>
      <c r="F2" s="39"/>
      <c r="G2" s="39"/>
      <c r="H2" s="39"/>
    </row>
    <row r="3" spans="1:13" x14ac:dyDescent="0.25">
      <c r="A3" s="62" t="s">
        <v>1</v>
      </c>
      <c r="B3" s="40" t="s">
        <v>19</v>
      </c>
      <c r="C3" s="41" t="s">
        <v>20</v>
      </c>
      <c r="D3" s="42" t="s">
        <v>21</v>
      </c>
      <c r="E3" s="43" t="s">
        <v>22</v>
      </c>
      <c r="F3" s="43" t="s">
        <v>23</v>
      </c>
      <c r="G3" s="44" t="s">
        <v>24</v>
      </c>
      <c r="H3" s="45" t="s">
        <v>5</v>
      </c>
    </row>
    <row r="4" spans="1:13" ht="28.5" x14ac:dyDescent="0.25">
      <c r="A4" s="46" t="s">
        <v>27</v>
      </c>
      <c r="B4" s="47">
        <f>1+1+1+1+1+1+1+1+1+1+1+1+1+1+1</f>
        <v>15</v>
      </c>
      <c r="C4" s="47">
        <f>1+1+1+1+1+1+1+1+1+1+1+1+1+1+1+1+1+1+1+1+1+1+1+1+1+1+1+1+1+1+1+1+1+1+1+1+1+1</f>
        <v>38</v>
      </c>
      <c r="D4" s="47">
        <f>1+1+1+1+1+1+1+1+1+1+1+1+1+1+1+1+1+1+1+1+1+1+1+1+1+1+1+1+1+1+1+1+1+1+1</f>
        <v>35</v>
      </c>
      <c r="E4" s="47">
        <f>1+1+1+1+1+1+1</f>
        <v>7</v>
      </c>
      <c r="F4" s="47">
        <f>1+1+1+1</f>
        <v>4</v>
      </c>
      <c r="G4" s="47">
        <v>0</v>
      </c>
      <c r="H4" s="48">
        <f>B4+C4+D4+E4+F4+G4</f>
        <v>99</v>
      </c>
    </row>
    <row r="5" spans="1:13" ht="15" customHeight="1" x14ac:dyDescent="0.25">
      <c r="A5" s="91" t="s">
        <v>18</v>
      </c>
      <c r="B5" s="87">
        <f>B4/$H$4</f>
        <v>0.15</v>
      </c>
      <c r="C5" s="87">
        <f>C4/H4</f>
        <v>0.38</v>
      </c>
      <c r="D5" s="87">
        <f>D4/H4</f>
        <v>0.35</v>
      </c>
      <c r="E5" s="87">
        <f>E4/H4</f>
        <v>7.0000000000000007E-2</v>
      </c>
      <c r="F5" s="87">
        <f>F4/H4</f>
        <v>0.04</v>
      </c>
      <c r="G5" s="87">
        <f>G4/H4</f>
        <v>0</v>
      </c>
      <c r="H5" s="88">
        <f>+(B5+C5+D5+E5+F5+G5)</f>
        <v>0.99</v>
      </c>
    </row>
    <row r="6" spans="1:13" ht="15" customHeight="1" x14ac:dyDescent="0.25">
      <c r="A6" s="49"/>
      <c r="B6" s="50"/>
      <c r="C6" s="50"/>
      <c r="D6" s="50"/>
      <c r="E6" s="50"/>
      <c r="F6" s="50"/>
      <c r="G6" s="50"/>
      <c r="H6" s="50"/>
    </row>
    <row r="7" spans="1:13" ht="15.75" customHeight="1" thickBot="1" x14ac:dyDescent="0.3">
      <c r="A7" s="39"/>
      <c r="B7" s="39"/>
      <c r="C7" s="39"/>
      <c r="D7" s="39"/>
      <c r="E7" s="39"/>
      <c r="F7" s="39"/>
      <c r="G7" s="39"/>
      <c r="H7" s="39"/>
    </row>
    <row r="8" spans="1:13" ht="15.75" thickBot="1" x14ac:dyDescent="0.3">
      <c r="A8" s="98" t="s">
        <v>2</v>
      </c>
      <c r="B8" s="99"/>
      <c r="C8" s="100"/>
      <c r="D8" s="38"/>
      <c r="E8" s="39"/>
      <c r="F8" s="39"/>
      <c r="G8" s="39"/>
      <c r="H8" s="39"/>
    </row>
    <row r="9" spans="1:13" x14ac:dyDescent="0.25">
      <c r="A9" s="61" t="s">
        <v>1</v>
      </c>
      <c r="B9" s="40" t="s">
        <v>19</v>
      </c>
      <c r="C9" s="41" t="s">
        <v>20</v>
      </c>
      <c r="D9" s="42" t="s">
        <v>21</v>
      </c>
      <c r="E9" s="43" t="s">
        <v>22</v>
      </c>
      <c r="F9" s="43" t="s">
        <v>23</v>
      </c>
      <c r="G9" s="44" t="s">
        <v>24</v>
      </c>
      <c r="H9" s="45" t="s">
        <v>5</v>
      </c>
    </row>
    <row r="10" spans="1:13" ht="42.75" x14ac:dyDescent="0.25">
      <c r="A10" s="46" t="s">
        <v>28</v>
      </c>
      <c r="B10" s="47">
        <f>1+1+1+1+1+1+1+1+1+1+1+1+1+1+1</f>
        <v>15</v>
      </c>
      <c r="C10" s="47">
        <f>1+1+1+1+1+1+1+1+1+1+1+1+1+1+1+1+1+1+1+1+1+1+1+1+1+1+1+1+1+1+1+1+1+1+1+1+1+1+1+1+1+1+1+1+1+1+1+1+1+1+1</f>
        <v>51</v>
      </c>
      <c r="D10" s="47">
        <f>1+1+1+1+1+1+1+1+1+1+1+1+1+1+1+1+1+1+1+1+1+1+1+1+1+1+1+1+1</f>
        <v>29</v>
      </c>
      <c r="E10" s="47">
        <f>1+1+1+1</f>
        <v>4</v>
      </c>
      <c r="F10" s="47">
        <f>0</f>
        <v>0</v>
      </c>
      <c r="G10" s="47">
        <f>1</f>
        <v>1</v>
      </c>
      <c r="H10" s="48">
        <f>B10+C10+D10+E10+F10+G10</f>
        <v>100</v>
      </c>
    </row>
    <row r="11" spans="1:13" ht="18" x14ac:dyDescent="0.25">
      <c r="A11" s="70" t="s">
        <v>18</v>
      </c>
      <c r="B11" s="83">
        <f>B10/H10</f>
        <v>0.15</v>
      </c>
      <c r="C11" s="83">
        <f>C10/H10</f>
        <v>0.51</v>
      </c>
      <c r="D11" s="83">
        <f>D10/H10</f>
        <v>0.28999999999999998</v>
      </c>
      <c r="E11" s="83">
        <f>E10/H10</f>
        <v>0.04</v>
      </c>
      <c r="F11" s="83">
        <f>F10/H10</f>
        <v>0</v>
      </c>
      <c r="G11" s="83">
        <f>G10/H10</f>
        <v>0.01</v>
      </c>
      <c r="H11" s="85">
        <f>SUM(B11:G11)</f>
        <v>1</v>
      </c>
      <c r="M11" s="13"/>
    </row>
    <row r="12" spans="1:13" ht="18" x14ac:dyDescent="0.25">
      <c r="A12" s="49"/>
      <c r="B12" s="50"/>
      <c r="C12" s="50"/>
      <c r="D12" s="50"/>
      <c r="E12" s="50"/>
      <c r="F12" s="50"/>
      <c r="G12" s="50"/>
      <c r="H12" s="50"/>
      <c r="M12" s="14"/>
    </row>
    <row r="13" spans="1:13" ht="18" customHeight="1" thickBot="1" x14ac:dyDescent="0.3">
      <c r="A13" s="39"/>
      <c r="B13" s="39"/>
      <c r="C13" s="39"/>
      <c r="D13" s="39"/>
      <c r="E13" s="39"/>
      <c r="F13" s="39"/>
      <c r="G13" s="39"/>
      <c r="H13" s="39"/>
    </row>
    <row r="14" spans="1:13" ht="15.75" thickBot="1" x14ac:dyDescent="0.3">
      <c r="A14" s="98" t="s">
        <v>55</v>
      </c>
      <c r="B14" s="99"/>
      <c r="C14" s="100"/>
      <c r="D14" s="38"/>
      <c r="E14" s="39"/>
      <c r="F14" s="39"/>
      <c r="G14" s="39"/>
      <c r="H14" s="39"/>
    </row>
    <row r="15" spans="1:13" x14ac:dyDescent="0.25">
      <c r="A15" s="61" t="s">
        <v>1</v>
      </c>
      <c r="B15" s="40" t="s">
        <v>19</v>
      </c>
      <c r="C15" s="41" t="s">
        <v>20</v>
      </c>
      <c r="D15" s="42" t="s">
        <v>21</v>
      </c>
      <c r="E15" s="43" t="s">
        <v>22</v>
      </c>
      <c r="F15" s="43" t="s">
        <v>23</v>
      </c>
      <c r="G15" s="44" t="s">
        <v>24</v>
      </c>
      <c r="H15" s="45" t="s">
        <v>5</v>
      </c>
    </row>
    <row r="16" spans="1:13" ht="28.5" x14ac:dyDescent="0.25">
      <c r="A16" s="46" t="s">
        <v>3</v>
      </c>
      <c r="B16" s="47">
        <f>1+1+1+1+1+1+1+1+1+1+1+1</f>
        <v>12</v>
      </c>
      <c r="C16" s="47">
        <f>1+1+1+1+1+1+1+1+1+1+1+1+1+1+1+1+1+1+1+1+1+1+1+1+1+1+1+1+1+1+1+1+1+1+1+1+1+1+1+1+1+1+1+1+1+1+1+1+1+1+1+1+1+1+1+1+1</f>
        <v>57</v>
      </c>
      <c r="D16" s="47">
        <f>1+1+1+1+1+1+1+1+1+1+1+1+1+1+1+1+1+1+1+1+1+1</f>
        <v>22</v>
      </c>
      <c r="E16" s="47">
        <f>1+1+1+1</f>
        <v>4</v>
      </c>
      <c r="F16" s="47">
        <v>0</v>
      </c>
      <c r="G16" s="47">
        <f>1+1+1+1+1</f>
        <v>5</v>
      </c>
      <c r="H16" s="48">
        <f>B16+C16+D16+E16+F16+G16</f>
        <v>100</v>
      </c>
    </row>
    <row r="17" spans="1:8" ht="18" x14ac:dyDescent="0.25">
      <c r="A17" s="91" t="s">
        <v>25</v>
      </c>
      <c r="B17" s="82">
        <f>B16/H16</f>
        <v>0.12</v>
      </c>
      <c r="C17" s="82">
        <f>C16/H16</f>
        <v>0.56999999999999995</v>
      </c>
      <c r="D17" s="82">
        <f>D16/H16</f>
        <v>0.22</v>
      </c>
      <c r="E17" s="82">
        <f>E16/H16</f>
        <v>0.04</v>
      </c>
      <c r="F17" s="82">
        <f>F16/H16</f>
        <v>0</v>
      </c>
      <c r="G17" s="82">
        <f>G16/H16</f>
        <v>0.05</v>
      </c>
      <c r="H17" s="84">
        <f>SUM(B17:G17)</f>
        <v>1</v>
      </c>
    </row>
    <row r="18" spans="1:8" ht="18.75" x14ac:dyDescent="0.25">
      <c r="A18" s="5"/>
      <c r="B18" s="17"/>
      <c r="C18" s="17"/>
      <c r="D18" s="17"/>
      <c r="E18" s="17"/>
      <c r="F18" s="17"/>
      <c r="G18" s="17"/>
      <c r="H18" s="18"/>
    </row>
    <row r="19" spans="1:8" ht="18.75" customHeight="1" x14ac:dyDescent="0.25">
      <c r="A19" s="95" t="s">
        <v>29</v>
      </c>
      <c r="B19" s="96"/>
      <c r="C19" s="96"/>
      <c r="D19" s="96"/>
      <c r="E19" s="96"/>
      <c r="F19" s="96"/>
      <c r="G19" s="96"/>
      <c r="H19" s="97"/>
    </row>
    <row r="20" spans="1:8" ht="18.75" x14ac:dyDescent="0.25">
      <c r="A20" s="5"/>
      <c r="B20" s="17"/>
      <c r="C20" s="17"/>
      <c r="D20" s="17"/>
      <c r="E20" s="17"/>
      <c r="F20" s="17"/>
      <c r="G20" s="17"/>
      <c r="H20" s="18"/>
    </row>
    <row r="21" spans="1:8" ht="18.75" x14ac:dyDescent="0.25">
      <c r="A21" s="5"/>
      <c r="B21" s="17"/>
      <c r="C21" s="17"/>
      <c r="D21" s="17"/>
      <c r="E21" s="17"/>
      <c r="F21" s="17"/>
      <c r="G21" s="17"/>
      <c r="H21" s="18"/>
    </row>
    <row r="22" spans="1:8" ht="18.75" x14ac:dyDescent="0.25">
      <c r="A22" s="5"/>
      <c r="B22" s="11"/>
      <c r="C22" s="11"/>
      <c r="D22" s="11"/>
      <c r="E22" s="11"/>
      <c r="F22" s="11"/>
      <c r="G22" s="11"/>
      <c r="H22" s="11"/>
    </row>
    <row r="23" spans="1:8" ht="15.75" customHeight="1" thickBot="1" x14ac:dyDescent="0.3"/>
    <row r="24" spans="1:8" ht="15.75" thickBot="1" x14ac:dyDescent="0.3">
      <c r="A24" s="92" t="s">
        <v>53</v>
      </c>
      <c r="B24" s="93"/>
      <c r="C24" s="94"/>
      <c r="D24" s="1"/>
    </row>
    <row r="25" spans="1:8" ht="15.75" x14ac:dyDescent="0.25">
      <c r="A25" s="60" t="s">
        <v>1</v>
      </c>
      <c r="B25" s="64" t="s">
        <v>30</v>
      </c>
      <c r="C25" s="65" t="s">
        <v>31</v>
      </c>
      <c r="D25" s="8" t="s">
        <v>5</v>
      </c>
      <c r="E25" s="19"/>
      <c r="F25" s="19"/>
      <c r="G25" s="19"/>
    </row>
    <row r="26" spans="1:8" ht="18.75" x14ac:dyDescent="0.25">
      <c r="A26" s="3" t="s">
        <v>32</v>
      </c>
      <c r="B26" s="33">
        <f>1+1+1+1+1+1+1+1+1+1+1+1+1+1+1+1+1+1+1+1+1+1+1+1+1+1+1+1+1+1+1+1+1+1+1+1+1+1+1+1+1+1+1+1+1+1+1+1+1+1+1+1+1+1+1+1+1+0+1+1+1+1+1+1+1+1+1+1+1+1+1+1+1+1+1+1+1+1+1+1+1+1+1+1+1+1+1+1+1+1+1+1</f>
        <v>91</v>
      </c>
      <c r="C26" s="34">
        <f>1+1+1+1+1+1+1+1+1</f>
        <v>9</v>
      </c>
      <c r="D26" s="9">
        <f>B26+C26</f>
        <v>100</v>
      </c>
      <c r="E26" s="53"/>
      <c r="F26" s="6"/>
      <c r="G26" s="6"/>
    </row>
    <row r="27" spans="1:8" ht="18.75" x14ac:dyDescent="0.25">
      <c r="A27" s="3" t="s">
        <v>33</v>
      </c>
      <c r="B27" s="33">
        <f>1+1+1+1+1+1+1+1+1+1+1+1+1+1+0+1+1+1+1+1+1+1+1+1+1+1+1+1+1+1+1+1+1+1+1+1+1+1+1+1+1+1+1+1+1+1+1+1+1+1+1+1+1+1+1+1+1+1+0+1+1+1+1+1+1+1+1+1+1+1+1+1+1+1+1+1+1+1+1+1+1+1+1+1+1+1+1+1+1+1</f>
        <v>88</v>
      </c>
      <c r="C27" s="34">
        <f>1+1+1+1+1+1+1+1+1</f>
        <v>9</v>
      </c>
      <c r="D27" s="9">
        <f t="shared" ref="D27:D29" si="0">B27+C27</f>
        <v>97</v>
      </c>
      <c r="E27" s="53"/>
      <c r="F27" s="6"/>
      <c r="G27" s="6"/>
    </row>
    <row r="28" spans="1:8" ht="36" customHeight="1" x14ac:dyDescent="0.25">
      <c r="A28" s="4" t="s">
        <v>34</v>
      </c>
      <c r="B28" s="33">
        <f>1+1+1+1+1+1+1+1+1+1+1+1+1+1+1+1+1+1+1+1+1+1+1+1+1+1+1+1+1+1+1+1+1+1+1+1+1+1+1+1+1+1+1+1+1+1+1+1+1+1+1+1+1+1+1+1+1+1+1+1+1+1+1+1+1+1+1+1+1+1+1+1+1+1+1+1+1+1+1+1+1+1+1+1</f>
        <v>84</v>
      </c>
      <c r="C28" s="34">
        <f>1+1+1+1+1+1+1+1+1+1</f>
        <v>10</v>
      </c>
      <c r="D28" s="9">
        <f t="shared" si="0"/>
        <v>94</v>
      </c>
      <c r="E28" s="53"/>
      <c r="F28" s="6"/>
      <c r="G28" s="6"/>
    </row>
    <row r="29" spans="1:8" ht="18.75" hidden="1" x14ac:dyDescent="0.25">
      <c r="A29" s="7" t="s">
        <v>6</v>
      </c>
      <c r="B29" s="15">
        <f>+(B26+B27+B28)</f>
        <v>263</v>
      </c>
      <c r="C29" s="25">
        <f t="shared" ref="C29" si="1">+(C26+C27+C28)</f>
        <v>28</v>
      </c>
      <c r="D29" s="15">
        <f t="shared" si="0"/>
        <v>291</v>
      </c>
      <c r="E29" s="11"/>
      <c r="F29" s="11"/>
      <c r="G29" s="11"/>
    </row>
    <row r="30" spans="1:8" ht="18.75" x14ac:dyDescent="0.25">
      <c r="A30" s="71" t="s">
        <v>25</v>
      </c>
      <c r="B30" s="80">
        <f>B29/$D$29</f>
        <v>0.90380000000000005</v>
      </c>
      <c r="C30" s="90">
        <f>C29/$D$29</f>
        <v>9.6199999999999994E-2</v>
      </c>
      <c r="D30" s="75">
        <f>+B30+C30</f>
        <v>1</v>
      </c>
      <c r="E30" s="17"/>
      <c r="F30" s="17"/>
      <c r="G30" s="17"/>
    </row>
    <row r="31" spans="1:8" ht="18.75" x14ac:dyDescent="0.25">
      <c r="A31" s="7"/>
      <c r="B31" s="11"/>
      <c r="C31" s="11"/>
      <c r="D31" s="11"/>
      <c r="E31" s="11"/>
      <c r="F31" s="11"/>
      <c r="G31" s="11"/>
    </row>
    <row r="32" spans="1:8" ht="18.75" customHeight="1" thickBot="1" x14ac:dyDescent="0.3">
      <c r="E32" s="5"/>
      <c r="F32" s="5"/>
      <c r="G32" s="5"/>
    </row>
    <row r="33" spans="1:7" ht="15.75" thickBot="1" x14ac:dyDescent="0.3">
      <c r="A33" s="92" t="s">
        <v>43</v>
      </c>
      <c r="B33" s="93"/>
      <c r="C33" s="94"/>
      <c r="E33" s="5"/>
      <c r="F33" s="5"/>
      <c r="G33" s="5"/>
    </row>
    <row r="34" spans="1:7" ht="15.75" x14ac:dyDescent="0.25">
      <c r="A34" s="60" t="s">
        <v>1</v>
      </c>
      <c r="B34" s="64" t="s">
        <v>30</v>
      </c>
      <c r="C34" s="65" t="s">
        <v>31</v>
      </c>
      <c r="D34" s="52" t="s">
        <v>5</v>
      </c>
      <c r="E34" s="19"/>
      <c r="F34" s="19"/>
      <c r="G34" s="19"/>
    </row>
    <row r="35" spans="1:7" ht="18.75" x14ac:dyDescent="0.3">
      <c r="A35" s="27" t="s">
        <v>35</v>
      </c>
      <c r="B35" s="35">
        <f>1+1+1+1+1+1+1+1+1+1+1+1+1+1+1+1+1+1+1+1+1+1+1+1+1+1+1+1+1+1+1+1+1+1+1+1+1+1+1+1+1+1+1+1+1+1+1+1+1+1+1+1+1+1+1+1+1+1+1+1+1+1+1+1+1+1+1+1+1+1+1+1+1+1+1+1</f>
        <v>76</v>
      </c>
      <c r="C35" s="36">
        <f>1+1+1+1+1+1+1+1+1+1+1+1+1+1+1+1+1+1+1+1+1+1+1+1</f>
        <v>24</v>
      </c>
      <c r="D35" s="10">
        <f>B35+C35</f>
        <v>100</v>
      </c>
      <c r="E35" s="53"/>
      <c r="F35" s="19"/>
      <c r="G35" s="19"/>
    </row>
    <row r="36" spans="1:7" ht="18.75" x14ac:dyDescent="0.3">
      <c r="A36" s="27" t="s">
        <v>36</v>
      </c>
      <c r="B36" s="35">
        <f>1+1+1+1+1+1+1+1+1+1+1+1+1+1+1+1+1+1+1+1+1+1+1+1+1+1+1+1+1+1+1+1+1+1+1+1+1+1+1+1+1+1+1+1+1+1+1+1+1+1+1+1+1+1+1+1+1+1+1+1+1+1+1+1+1+1+1+1+1+1+1+1+1+1+1</f>
        <v>75</v>
      </c>
      <c r="C36" s="36">
        <f>1+1+1+1+1+1+1+1+1+1+1+1+1+1+1+1+1+1+1+0+1+1+1</f>
        <v>22</v>
      </c>
      <c r="D36" s="10">
        <f>B36+C36</f>
        <v>97</v>
      </c>
      <c r="E36" s="53"/>
      <c r="F36" s="19"/>
      <c r="G36" s="19"/>
    </row>
    <row r="37" spans="1:7" ht="18.75" x14ac:dyDescent="0.3">
      <c r="A37" s="27" t="s">
        <v>37</v>
      </c>
      <c r="B37" s="35">
        <f>1+1+1+1+1+1+1+1+1+1+1+1+1+1+1+1+1+1+1+1+1+1+1+1+1+1+1+1+1+1+1+1+1+1+1+1+1+1+1+1+1+1+1+1+1+1+1+1+1+1+1+1+1+1+1+1+1+1+1+1+1+1+1+1+1+1+1+1+1+1+1</f>
        <v>71</v>
      </c>
      <c r="C37" s="36">
        <f>1+1+1+1+1+1+1+1+1+1+1+1+1+1+1+1+1+1+1+1+1+1+1+1+1+1+1+1+1</f>
        <v>29</v>
      </c>
      <c r="D37" s="10">
        <f>B37+C37</f>
        <v>100</v>
      </c>
      <c r="E37" s="53"/>
      <c r="F37" s="19"/>
      <c r="G37" s="19"/>
    </row>
    <row r="38" spans="1:7" ht="18.75" x14ac:dyDescent="0.3">
      <c r="A38" s="27" t="s">
        <v>38</v>
      </c>
      <c r="B38" s="35">
        <f>1+1+1+1+1+1+1+1+1+1+1+1+1+1+1+1+1+1+1+1+1+1+1+1+1+1+1+1+1+1+1+1+1+1+1+1+1+1+1+1+1+1+1+1+1+1+1+1+1+1+1+1+1+1+1+1+1+1+1+1+1+1+1+1+1+1+1+1+1+1+1</f>
        <v>71</v>
      </c>
      <c r="C38" s="36">
        <f>1+1+1+1+1+1+1+1+1+1+1+1+1+1+1+1+1+1+1+1+1+1+1+1+1+1+1+1</f>
        <v>28</v>
      </c>
      <c r="D38" s="10">
        <f>B38+C38</f>
        <v>99</v>
      </c>
      <c r="E38" s="53"/>
      <c r="F38" s="19"/>
      <c r="G38" s="19"/>
    </row>
    <row r="39" spans="1:7" ht="18.75" x14ac:dyDescent="0.3">
      <c r="A39" s="27" t="s">
        <v>39</v>
      </c>
      <c r="B39" s="35">
        <f>1+1+1+1+1+1+1+1+1+1+1+1+1+1+1+1+1+1+1+1+1+1+1+1+1+1+1+1+1+1+1+1+1+1+1+1+1+1+1+1+1+1+1+1+1+1+1+1+1+1+1+1+1+1+1+1+1+1+1+1+1+1+1+1+1+1+1+1+1+1+1</f>
        <v>71</v>
      </c>
      <c r="C39" s="36">
        <f>1+1+1+1+1+1+1+1+1+1+1+1+1+1+1+1+1+1+1+1+1+1+1+1+1+1+1</f>
        <v>27</v>
      </c>
      <c r="D39" s="10">
        <f t="shared" ref="D39:D41" si="2">B39+C39</f>
        <v>98</v>
      </c>
      <c r="E39" s="53"/>
      <c r="F39" s="19"/>
      <c r="G39" s="19"/>
    </row>
    <row r="40" spans="1:7" ht="30" x14ac:dyDescent="0.3">
      <c r="A40" s="28" t="s">
        <v>40</v>
      </c>
      <c r="B40" s="35">
        <f>1+1+1+1+1+1+1+1+1+1+1+1+1+1+1+1+1+1+1+1+1+1+1+1+1+1+1+1+1+1+1+1+1+1+1+1+1+1+1+1+1+1+1+1+1+1+1+1+1+1+1+1+1+1+1+1+1+1+1+1+1+1+1+1+1+1+1+1+1+1+1</f>
        <v>71</v>
      </c>
      <c r="C40" s="36">
        <f>1+1+1+1+1+1+1+1+1+1+1+1+1+1+1+1+1+1+1+1+1+1+1+1+1+1+1+1</f>
        <v>28</v>
      </c>
      <c r="D40" s="10">
        <f t="shared" si="2"/>
        <v>99</v>
      </c>
      <c r="E40" s="53"/>
      <c r="F40" s="19"/>
      <c r="G40" s="19"/>
    </row>
    <row r="41" spans="1:7" ht="18.75" x14ac:dyDescent="0.3">
      <c r="A41" s="29" t="s">
        <v>41</v>
      </c>
      <c r="B41" s="37">
        <f>1+1+1+1+1+1+1+1+1+1+1+1+1+1+1+1+1+1+1+1+1+1+1+1+1+1+1+1+1+1+1+1+1+1+1+1+1+1+1+1+1+1+1+1+1+1+1+1+1+1+1+1+1+1+1+1+1+1+1+1+1+1+1+1+1+1+1+1+1+1+1+1+1+1+1+1+1+1+1+1+1+1+1+1+1+1+1+1+1+1+1+1+1+1+1+1+1+1+1+1</f>
        <v>100</v>
      </c>
      <c r="C41" s="34">
        <f>0</f>
        <v>0</v>
      </c>
      <c r="D41" s="54">
        <f t="shared" si="2"/>
        <v>100</v>
      </c>
      <c r="E41" s="53"/>
      <c r="F41" s="6"/>
      <c r="G41" s="6"/>
    </row>
    <row r="42" spans="1:7" ht="17.25" hidden="1" customHeight="1" x14ac:dyDescent="0.3">
      <c r="A42" s="24" t="s">
        <v>6</v>
      </c>
      <c r="B42" s="15">
        <f>SUM(B35:B41)</f>
        <v>535</v>
      </c>
      <c r="C42" s="15">
        <f>SUM(C35:C41)</f>
        <v>158</v>
      </c>
      <c r="D42" s="16">
        <f t="shared" ref="D42" si="3">+B42+C42</f>
        <v>693</v>
      </c>
      <c r="E42" s="11"/>
      <c r="F42" s="11"/>
      <c r="G42" s="11"/>
    </row>
    <row r="43" spans="1:7" ht="18.75" x14ac:dyDescent="0.25">
      <c r="A43" s="71" t="s">
        <v>25</v>
      </c>
      <c r="B43" s="80">
        <f>B42/$D$42</f>
        <v>0.77200000000000002</v>
      </c>
      <c r="C43" s="80">
        <f>C42/$D$42</f>
        <v>0.22800000000000001</v>
      </c>
      <c r="D43" s="75">
        <f>+B43+C43</f>
        <v>1</v>
      </c>
      <c r="E43" s="17"/>
      <c r="F43" s="17"/>
      <c r="G43" s="17"/>
    </row>
    <row r="44" spans="1:7" ht="18.75" x14ac:dyDescent="0.25">
      <c r="A44" s="7"/>
      <c r="B44" s="11"/>
      <c r="C44" s="11"/>
      <c r="D44" s="11"/>
      <c r="E44" s="11"/>
      <c r="F44" s="11"/>
      <c r="G44" s="11"/>
    </row>
    <row r="45" spans="1:7" ht="18.75" customHeight="1" thickBot="1" x14ac:dyDescent="0.3">
      <c r="E45" s="5"/>
      <c r="F45" s="5"/>
      <c r="G45" s="5"/>
    </row>
    <row r="46" spans="1:7" ht="15.75" thickBot="1" x14ac:dyDescent="0.3">
      <c r="A46" s="92" t="s">
        <v>44</v>
      </c>
      <c r="B46" s="93"/>
      <c r="C46" s="94"/>
      <c r="E46" s="5"/>
      <c r="F46" s="5"/>
      <c r="G46" s="5"/>
    </row>
    <row r="47" spans="1:7" ht="15.75" x14ac:dyDescent="0.25">
      <c r="A47" s="60" t="s">
        <v>1</v>
      </c>
      <c r="B47" s="64" t="s">
        <v>30</v>
      </c>
      <c r="C47" s="65" t="s">
        <v>31</v>
      </c>
      <c r="D47" s="8" t="s">
        <v>5</v>
      </c>
      <c r="E47" s="19"/>
      <c r="F47" s="19"/>
      <c r="G47" s="19"/>
    </row>
    <row r="48" spans="1:7" ht="18.75" x14ac:dyDescent="0.25">
      <c r="A48" s="22" t="s">
        <v>42</v>
      </c>
      <c r="B48" s="33">
        <f>1+1+1+1+1+1+1+1+1+1+1+1+1+1+1+1+1+1+1+1+1+1+1+1+1+1+1+1+1+1+1+1+1+1+1+1+1+1+1+1+1+1+1+1+1+1+1+1+1+1+1+1+1+1+1+1+1+1+1+1+1+1+1+1+1+1+1+1+1+1+1+1+1+1+1+1+1+1+1+1</f>
        <v>80</v>
      </c>
      <c r="C48" s="34">
        <f>1+1+1+1+1+1+1+1+1+1+1+1+1+0+0+1+1+1+1</f>
        <v>17</v>
      </c>
      <c r="D48" s="9">
        <f>B48+C48</f>
        <v>97</v>
      </c>
      <c r="E48" s="53"/>
      <c r="F48" s="6"/>
      <c r="G48" s="6"/>
    </row>
    <row r="49" spans="1:8" ht="18.75" x14ac:dyDescent="0.25">
      <c r="A49" s="23" t="s">
        <v>45</v>
      </c>
      <c r="B49" s="33">
        <f>1+1+1+1+1+1+1+1+1+1+1+1+1+1+1+1+1+1+1+1+1+1+1+1+1+1+1+1+1+1+1+1+1+1+1+1+1+1+1+1+1+1+1+1+1+1+1+1+1+1+1+1+1+1+1+1+1+1+1+1+1+1+1+1</f>
        <v>64</v>
      </c>
      <c r="C49" s="34">
        <f>1+1+1+1+1+1+1+1+1+1+1+1+1+1+1+1+1+1+1+1+0+1+1+1+1+1+1+1+1+0+1+1+1+1+1+1+0</f>
        <v>34</v>
      </c>
      <c r="D49" s="9">
        <f t="shared" ref="D49:D50" si="4">B49+C49</f>
        <v>98</v>
      </c>
      <c r="E49" s="53"/>
      <c r="F49" s="6"/>
      <c r="G49" s="6"/>
    </row>
    <row r="50" spans="1:8" ht="18" customHeight="1" x14ac:dyDescent="0.25">
      <c r="A50" s="23" t="s">
        <v>46</v>
      </c>
      <c r="B50" s="33">
        <f>1+1+1+1+1+1+1+1+1+1+1+1+1+1+1+1+1+1+1+1+1+1+1+1+1+1+1+1+1+1+1+1+1+1+1+1+1+1+1+1+1+1+1+1+1+1+1+1+1</f>
        <v>49</v>
      </c>
      <c r="C50" s="34">
        <f>1+1+1+1+1+1+1+1+1+1+1+1+1+1+1+1+1+1+1+0+1+1+1+1+1+1+1+1+1+1+1+1+1+1+1+1+1+1+1+1+1+1+1+1+1+1+1+1+1</f>
        <v>48</v>
      </c>
      <c r="D50" s="9">
        <f t="shared" si="4"/>
        <v>97</v>
      </c>
      <c r="E50" s="53"/>
      <c r="F50" s="6"/>
      <c r="G50" s="6"/>
    </row>
    <row r="51" spans="1:8" ht="18.75" hidden="1" x14ac:dyDescent="0.25">
      <c r="A51" s="24" t="s">
        <v>6</v>
      </c>
      <c r="B51" s="15">
        <f>B48+B49+B50</f>
        <v>193</v>
      </c>
      <c r="C51" s="15">
        <f>C48+C49+C50</f>
        <v>99</v>
      </c>
      <c r="D51" s="15">
        <f>B51+C51</f>
        <v>292</v>
      </c>
      <c r="E51" s="11"/>
      <c r="F51" s="11"/>
      <c r="G51" s="11"/>
    </row>
    <row r="52" spans="1:8" ht="18.75" x14ac:dyDescent="0.25">
      <c r="A52" s="71" t="s">
        <v>25</v>
      </c>
      <c r="B52" s="72">
        <f>B51/$D$51</f>
        <v>0.66</v>
      </c>
      <c r="C52" s="72">
        <f>C51/$D$51</f>
        <v>0.34</v>
      </c>
      <c r="D52" s="75">
        <f>B52+C52</f>
        <v>1</v>
      </c>
      <c r="E52" s="21"/>
      <c r="F52" s="21"/>
      <c r="G52" s="21"/>
    </row>
    <row r="53" spans="1:8" ht="18.75" x14ac:dyDescent="0.25">
      <c r="A53" s="7"/>
      <c r="B53" s="72">
        <f>B48/$D$48</f>
        <v>0.82</v>
      </c>
      <c r="C53" s="72">
        <f>C48/$D$48</f>
        <v>0.18</v>
      </c>
      <c r="D53" s="81"/>
      <c r="E53" s="11"/>
      <c r="F53" s="11"/>
      <c r="G53" s="11"/>
      <c r="H53" s="11"/>
    </row>
    <row r="54" spans="1:8" ht="15.75" thickBot="1" x14ac:dyDescent="0.3"/>
    <row r="55" spans="1:8" ht="15.75" thickBot="1" x14ac:dyDescent="0.3">
      <c r="A55" s="92" t="s">
        <v>4</v>
      </c>
      <c r="B55" s="93"/>
      <c r="C55" s="94"/>
      <c r="D55" s="1"/>
    </row>
    <row r="56" spans="1:8" ht="15.75" x14ac:dyDescent="0.25">
      <c r="A56" s="60" t="s">
        <v>1</v>
      </c>
      <c r="B56" s="64" t="s">
        <v>30</v>
      </c>
      <c r="C56" s="65" t="s">
        <v>31</v>
      </c>
      <c r="D56" s="8" t="s">
        <v>5</v>
      </c>
      <c r="E56" s="19"/>
      <c r="F56" s="19"/>
      <c r="G56" s="19"/>
    </row>
    <row r="57" spans="1:8" ht="45" x14ac:dyDescent="0.25">
      <c r="A57" s="4" t="s">
        <v>47</v>
      </c>
      <c r="B57" s="31">
        <f>1+1+1+1+1+1+1+1+1+1+1+1+1+1+1+1+1+1+1+1+1+1+1+1+1+1+1+1+1+1+1+1+1+1+1+1+1+1+1+1+1+1+1+1+1+1+1+1+1+1+1+1+1+1+1+1+1+1+1+1+1+1+1+1+1+1+1+1+1+1+1+1+1+1+1</f>
        <v>75</v>
      </c>
      <c r="C57" s="32">
        <f>1+1+1+1+1+1+1+1+1+1+1+1+0+1+1+1+1+1+1+1</f>
        <v>19</v>
      </c>
      <c r="D57" s="9">
        <f>B57+C57</f>
        <v>94</v>
      </c>
      <c r="E57" s="53"/>
      <c r="F57" s="6"/>
      <c r="G57" s="6"/>
    </row>
    <row r="58" spans="1:8" ht="30" x14ac:dyDescent="0.25">
      <c r="A58" s="4" t="s">
        <v>48</v>
      </c>
      <c r="B58" s="31">
        <f>1+1+1+1+1+1+1+1+1+1+1+1+1+1+1+1+1+1+1+1+1+1+1+1+1+1+1+1+1+1+1+1+1+1+1+1+1+1+1+1+1+1+1+1+1+1+1+1+1+1+1+1+1+1+1+1+1+1+1+1+1+1+1+1+1+1+1+1+1+1+1+1+1+1+1+1</f>
        <v>76</v>
      </c>
      <c r="C58" s="32">
        <f>0+0+1+1+1+1+1+1+1+1+1+1+1+1+1+1+1+1+1</f>
        <v>17</v>
      </c>
      <c r="D58" s="9">
        <f t="shared" ref="D58:D62" si="5">B58+C58</f>
        <v>93</v>
      </c>
      <c r="E58" s="53"/>
      <c r="F58" s="6"/>
      <c r="G58" s="6"/>
    </row>
    <row r="59" spans="1:8" ht="18.75" x14ac:dyDescent="0.25">
      <c r="A59" s="4" t="s">
        <v>49</v>
      </c>
      <c r="B59" s="31">
        <f>1+1+1+1+1+1+1+1+1+1+1+1+1+1+1+1+1+1+1+1+1+1+1+1+1+1+1+1+1+1+1+1+1+1+1+1+1+1+1+1+1+1+1+1+1+1+1+1+1+1+1+1+1+1+1+1+1+1+1+1+1+1+1+1+1+1+1+1+1+1+1+1</f>
        <v>72</v>
      </c>
      <c r="C59" s="32">
        <f>1+1+1+1+1+1+1+1+1+1+1+1+1+1+1+1+1+1+1+1+1+1+1+1+1</f>
        <v>25</v>
      </c>
      <c r="D59" s="9">
        <f t="shared" si="5"/>
        <v>97</v>
      </c>
      <c r="E59" s="53"/>
      <c r="F59" s="6"/>
      <c r="G59" s="6"/>
    </row>
    <row r="60" spans="1:8" ht="30" x14ac:dyDescent="0.25">
      <c r="A60" s="4" t="s">
        <v>50</v>
      </c>
      <c r="B60" s="31">
        <f>1+1+1+1+1+1+1+1+1+1+1+1+1+1+1+1+1+1+1+1+1+1+1+1+1+1+1+1+1+1+1+1+1+11+1+1+1+1+1+1+1+1+1+1+1+1+1+1+1+1+1+1+1+1+1+1+1+1+1+1+1+1+1+1</f>
        <v>74</v>
      </c>
      <c r="C60" s="32">
        <f>1+1+1+1+1+1+1+1+1+1+1+1+1+1+1+1+1+1+1+1+1+1+1</f>
        <v>23</v>
      </c>
      <c r="D60" s="9">
        <f t="shared" si="5"/>
        <v>97</v>
      </c>
      <c r="E60" s="53"/>
      <c r="F60" s="6"/>
      <c r="G60" s="6"/>
    </row>
    <row r="61" spans="1:8" ht="18.75" x14ac:dyDescent="0.25">
      <c r="A61" s="4" t="s">
        <v>51</v>
      </c>
      <c r="B61" s="33">
        <f>0+1+1+1+1+1+1+1+1+1+1+1+1+1+1+1+1+1+1+1+1+1+1+1+1+1+1+1+1+1+1+1+1+1+1+1+1+1+1+1+1+1+1+1+1+1+1+1+1+1+1+1+1+1+1+1+1+1+1+1+1+1+1+1+1+1</f>
        <v>65</v>
      </c>
      <c r="C61" s="34">
        <f>1+0+1+1+1+1+1+1+1+1+1+1+1+1+1+1+1+0+0+1+1+1+1+1+1+1+1+1+0+0+1+1</f>
        <v>27</v>
      </c>
      <c r="D61" s="9">
        <f t="shared" si="5"/>
        <v>92</v>
      </c>
      <c r="E61" s="53"/>
      <c r="F61" s="6"/>
      <c r="G61" s="6"/>
    </row>
    <row r="62" spans="1:8" ht="18.75" hidden="1" x14ac:dyDescent="0.25">
      <c r="A62" s="24" t="s">
        <v>6</v>
      </c>
      <c r="B62" s="15">
        <f>SUM(B57:B61)</f>
        <v>362</v>
      </c>
      <c r="C62" s="25">
        <f t="shared" ref="C62" si="6">SUM(C57:C61)</f>
        <v>111</v>
      </c>
      <c r="D62" s="15">
        <f t="shared" si="5"/>
        <v>473</v>
      </c>
      <c r="E62" s="11"/>
      <c r="F62" s="11"/>
      <c r="G62" s="11"/>
    </row>
    <row r="63" spans="1:8" ht="18.75" x14ac:dyDescent="0.25">
      <c r="A63" s="71" t="s">
        <v>25</v>
      </c>
      <c r="B63" s="80">
        <f>B62/$D$62</f>
        <v>0.76529999999999998</v>
      </c>
      <c r="C63" s="90">
        <f>C62/$D$62</f>
        <v>0.23469999999999999</v>
      </c>
      <c r="D63" s="75">
        <f>SUM(B63:C63)</f>
        <v>1</v>
      </c>
      <c r="E63" s="17"/>
      <c r="F63" s="17"/>
      <c r="G63" s="17"/>
    </row>
    <row r="64" spans="1:8" ht="18.75" x14ac:dyDescent="0.25">
      <c r="A64" s="30" t="s">
        <v>54</v>
      </c>
      <c r="B64" s="80">
        <f>B57/D57</f>
        <v>0.79790000000000005</v>
      </c>
      <c r="C64" s="80">
        <f>C57/D57</f>
        <v>0.2021</v>
      </c>
      <c r="D64" s="81"/>
      <c r="E64" s="11"/>
      <c r="F64" s="11"/>
      <c r="G64" s="11"/>
      <c r="H64" s="11"/>
    </row>
    <row r="65" spans="1:8" ht="15.75" thickBot="1" x14ac:dyDescent="0.3"/>
    <row r="66" spans="1:8" ht="15.75" thickBot="1" x14ac:dyDescent="0.3">
      <c r="A66" s="92" t="s">
        <v>56</v>
      </c>
      <c r="B66" s="93"/>
      <c r="C66" s="94"/>
      <c r="D66" s="1"/>
    </row>
    <row r="67" spans="1:8" ht="15.75" x14ac:dyDescent="0.25">
      <c r="A67" s="60" t="s">
        <v>1</v>
      </c>
      <c r="B67" s="64" t="s">
        <v>30</v>
      </c>
      <c r="C67" s="65" t="s">
        <v>31</v>
      </c>
      <c r="D67" s="8" t="s">
        <v>5</v>
      </c>
      <c r="E67" s="19"/>
      <c r="F67" s="19"/>
      <c r="G67" s="19"/>
    </row>
    <row r="68" spans="1:8" ht="30" x14ac:dyDescent="0.25">
      <c r="A68" s="4" t="s">
        <v>52</v>
      </c>
      <c r="B68" s="33">
        <f>1+1+1+1+1+1+1+1+1+1+1+1+1+1+1+1+1+1+1+1+1+1+1+1+1+1+1+1+1+1+1+1+1+1+1+1+1+1+1+1+1+1+1+1+1+1+1+1+1+1+1+1+1+1</f>
        <v>54</v>
      </c>
      <c r="C68" s="34">
        <f>1+1+1+1+1+1+1+1+1+1+1+1+1+1+1+1+1+1+1+1+1+1+1+1+1+1+1+1+1+1+1+1+1+1+1+1+1+1+1+1+1+1</f>
        <v>42</v>
      </c>
      <c r="D68" s="9">
        <f>B68+C68</f>
        <v>96</v>
      </c>
      <c r="E68" s="53"/>
      <c r="F68" s="6"/>
      <c r="G68" s="6"/>
    </row>
    <row r="69" spans="1:8" ht="18.75" hidden="1" x14ac:dyDescent="0.3">
      <c r="A69" s="1" t="s">
        <v>6</v>
      </c>
      <c r="B69" s="16">
        <f>SUM(B68:B68)</f>
        <v>54</v>
      </c>
      <c r="C69" s="26">
        <f>C68</f>
        <v>42</v>
      </c>
      <c r="D69" s="16">
        <f>D68</f>
        <v>96</v>
      </c>
      <c r="E69" s="12"/>
      <c r="F69" s="12"/>
      <c r="G69" s="12"/>
    </row>
    <row r="70" spans="1:8" ht="18.75" x14ac:dyDescent="0.25">
      <c r="A70" s="71" t="s">
        <v>25</v>
      </c>
      <c r="B70" s="80">
        <f>B69/$D$69</f>
        <v>0.5625</v>
      </c>
      <c r="C70" s="80">
        <f>C69/$D$69</f>
        <v>0.4375</v>
      </c>
      <c r="D70" s="75">
        <f>B70+C70</f>
        <v>1</v>
      </c>
      <c r="E70" s="17"/>
      <c r="F70" s="17"/>
      <c r="G70" s="17"/>
    </row>
    <row r="71" spans="1:8" ht="18.75" x14ac:dyDescent="0.3">
      <c r="B71" s="12"/>
      <c r="C71" s="12"/>
      <c r="D71" s="12"/>
      <c r="E71" s="12"/>
      <c r="F71" s="12"/>
      <c r="G71" s="12"/>
      <c r="H71" s="12"/>
    </row>
    <row r="72" spans="1:8" ht="15.75" thickBot="1" x14ac:dyDescent="0.3">
      <c r="D72" s="5"/>
      <c r="E72" s="5"/>
      <c r="F72" s="5"/>
      <c r="G72" s="5"/>
    </row>
    <row r="73" spans="1:8" ht="15.75" thickBot="1" x14ac:dyDescent="0.3">
      <c r="A73" s="92" t="s">
        <v>7</v>
      </c>
      <c r="B73" s="93"/>
      <c r="C73" s="94"/>
      <c r="D73" s="20"/>
      <c r="E73" s="5"/>
      <c r="F73" s="5"/>
      <c r="G73" s="5"/>
    </row>
    <row r="74" spans="1:8" ht="15.75" x14ac:dyDescent="0.25">
      <c r="A74" s="60" t="s">
        <v>1</v>
      </c>
      <c r="B74" s="64" t="s">
        <v>30</v>
      </c>
      <c r="C74" s="65" t="s">
        <v>31</v>
      </c>
      <c r="D74" s="8" t="s">
        <v>5</v>
      </c>
      <c r="E74" s="19"/>
      <c r="F74" s="19"/>
      <c r="G74" s="19"/>
    </row>
    <row r="75" spans="1:8" ht="18.75" x14ac:dyDescent="0.25">
      <c r="A75" s="4" t="s">
        <v>8</v>
      </c>
      <c r="B75" s="31">
        <f>1+1+1+1+1+1+1+1+1+1+1+1+1+1+1+1+1+1+1+1+1+1+1+1+1+1+1+1+1+1+1+1+1+1+1+1+1+1+1+1+1+1+1+1+1+1+1+1+1+1+1+1+1+1+1+1+1+1+1+1+1+1+1+1+1+1+1+1+1+1+1+1+1+1+1+1+1+1+1</f>
        <v>79</v>
      </c>
      <c r="C75" s="32">
        <f>1+1+1+1+1+1+1+1+1+1+1+1+0+1+1+1+1+1+1+1+1+1</f>
        <v>21</v>
      </c>
      <c r="D75" s="9">
        <f>B75+C75</f>
        <v>100</v>
      </c>
      <c r="E75" s="53"/>
      <c r="F75" s="6"/>
      <c r="G75" s="6"/>
    </row>
    <row r="76" spans="1:8" ht="18.75" x14ac:dyDescent="0.25">
      <c r="A76" s="4" t="s">
        <v>9</v>
      </c>
      <c r="B76" s="31">
        <f>1+1+1+1+1+1+1+1+1+1+1+1+1+1+1+1+1+1+1+1+1+1+1+1+1+1+1+1+1+1+1+1+1+1+1+1+1+1+1+1+1+1+1+1+1+1+1+1+1+1+1+1+1+1+1+1+1+1+1+1+1+1+1+1+1+1+1+1+1+1+1+1+1</f>
        <v>73</v>
      </c>
      <c r="C76" s="32">
        <f>1+1+1+1+1+1+1+1+1+1+1+1+1+1+1+1+1+1+1+1+1+1+1+1+1</f>
        <v>25</v>
      </c>
      <c r="D76" s="9">
        <f t="shared" ref="D76:D80" si="7">B76+C76</f>
        <v>98</v>
      </c>
      <c r="E76" s="53"/>
      <c r="F76" s="6"/>
      <c r="G76" s="6"/>
    </row>
    <row r="77" spans="1:8" ht="18.75" x14ac:dyDescent="0.25">
      <c r="A77" s="4" t="s">
        <v>10</v>
      </c>
      <c r="B77" s="31">
        <f>1+1+1+1+1+1+1+1+1+1+1+1+1+1+1+1+1+1+1+1+1+1+1+1+1+1+1+1+1+1+1+1+1+1+1+1+1+1+1+1+1+1+1+1+1+1+1+1+1+1+1+1+1+1+1+1+1+1+1+1+1+1+1+1+1+1+1+1+1+1+1+1+1+1+1+1+1+1+1+1</f>
        <v>80</v>
      </c>
      <c r="C77" s="32">
        <f>1+1+1+1+1+1+1+1+1+1+1+1+1+1+1+1+1+1+1+1</f>
        <v>20</v>
      </c>
      <c r="D77" s="9">
        <f t="shared" si="7"/>
        <v>100</v>
      </c>
      <c r="E77" s="53"/>
      <c r="F77" s="6"/>
      <c r="G77" s="6"/>
    </row>
    <row r="78" spans="1:8" ht="18.75" x14ac:dyDescent="0.25">
      <c r="A78" s="4" t="s">
        <v>11</v>
      </c>
      <c r="B78" s="31">
        <f>1+1+1+1+1+1+1+1+1+1+1+1+1+1+1+1+1+1+1+1+1+1+1+1+1+1+1+1+1+1+1+1+1+1+1+1+1+1+1+1+1+1+1+1+1+1+1+1+1+1+1+1+1+1+1+1+1+1+1+1+1+1+1+1+1+1+1+1+1+1+1+1</f>
        <v>72</v>
      </c>
      <c r="C78" s="32">
        <f>1+1+1+1+1+1+1+1+1+1+1+1+1+1+1+1+1+1+1+1+1+1+1+1+1+1+1</f>
        <v>27</v>
      </c>
      <c r="D78" s="9">
        <f t="shared" si="7"/>
        <v>99</v>
      </c>
      <c r="E78" s="53"/>
      <c r="F78" s="6"/>
      <c r="G78" s="6"/>
    </row>
    <row r="79" spans="1:8" ht="18.75" x14ac:dyDescent="0.25">
      <c r="A79" s="4" t="s">
        <v>12</v>
      </c>
      <c r="B79" s="33">
        <f>1+1+1+1+1+1+1+1+1+1+1+1+1+1+1+1+1+1+1+1+1+1+1+1+1+1+1+1+1+1+1+1+1+1+1+1+1+1+1+1+1+1+1+1+1+1+1+1+1+1+1+1+1+1+1+1+1+1+1+1+1+1+1+1+1+1+1+1+1+1+1+1+1+1</f>
        <v>74</v>
      </c>
      <c r="C79" s="34">
        <f>1+1+1+1+1+1+1+1+1+1+1+1+1+1+1+1+1+1+1+1+1+1+1</f>
        <v>23</v>
      </c>
      <c r="D79" s="9">
        <f t="shared" si="7"/>
        <v>97</v>
      </c>
      <c r="E79" s="53"/>
      <c r="F79" s="6"/>
      <c r="G79" s="6"/>
    </row>
    <row r="80" spans="1:8" ht="18.75" hidden="1" x14ac:dyDescent="0.25">
      <c r="A80" s="24" t="s">
        <v>6</v>
      </c>
      <c r="B80" s="15">
        <f>SUM(B75:B79)</f>
        <v>378</v>
      </c>
      <c r="C80" s="25">
        <f t="shared" ref="C80" si="8">SUM(C75:C79)</f>
        <v>116</v>
      </c>
      <c r="D80" s="15">
        <f t="shared" si="7"/>
        <v>494</v>
      </c>
      <c r="E80" s="11"/>
      <c r="F80" s="11"/>
      <c r="G80" s="11"/>
    </row>
    <row r="81" spans="1:8" ht="18.75" x14ac:dyDescent="0.25">
      <c r="A81" s="71" t="s">
        <v>25</v>
      </c>
      <c r="B81" s="80">
        <f>B80/$D$80</f>
        <v>0.76519999999999999</v>
      </c>
      <c r="C81" s="80">
        <f>C80/$D$80</f>
        <v>0.23480000000000001</v>
      </c>
      <c r="D81" s="75">
        <f>B81+C81</f>
        <v>1</v>
      </c>
      <c r="E81" s="17"/>
      <c r="F81" s="17"/>
      <c r="G81" s="17"/>
    </row>
    <row r="82" spans="1:8" x14ac:dyDescent="0.25">
      <c r="D82" s="5"/>
      <c r="E82" s="5"/>
      <c r="F82" s="5"/>
      <c r="G82" s="5"/>
    </row>
    <row r="83" spans="1:8" ht="15.75" thickBot="1" x14ac:dyDescent="0.3">
      <c r="D83" s="5"/>
      <c r="E83" s="5"/>
      <c r="F83" s="5"/>
      <c r="G83" s="5"/>
    </row>
    <row r="84" spans="1:8" ht="15.75" thickBot="1" x14ac:dyDescent="0.3">
      <c r="A84" s="92" t="s">
        <v>26</v>
      </c>
      <c r="B84" s="93"/>
      <c r="C84" s="94"/>
      <c r="D84" s="20"/>
      <c r="E84" s="5"/>
      <c r="F84" s="5"/>
      <c r="G84" s="5"/>
    </row>
    <row r="85" spans="1:8" ht="15.75" x14ac:dyDescent="0.25">
      <c r="A85" s="60" t="s">
        <v>1</v>
      </c>
      <c r="B85" s="64" t="s">
        <v>30</v>
      </c>
      <c r="C85" s="65" t="s">
        <v>31</v>
      </c>
      <c r="D85" s="8" t="s">
        <v>5</v>
      </c>
      <c r="E85" s="19"/>
      <c r="F85" s="19"/>
      <c r="G85" s="19"/>
    </row>
    <row r="86" spans="1:8" ht="18.75" x14ac:dyDescent="0.25">
      <c r="A86" s="4" t="s">
        <v>13</v>
      </c>
      <c r="B86" s="31">
        <f>1+1+1+1+1+1+1+1+1+1+1+1+1+1+1+1+1+1+1+1+1+1+1+1+1+1+1+1+1+1+1+1+1+1+1+1+1+1+1+1+1+1+1+1+1+1+1+1+1+1+1+1+1+1+1+1+1+1+1+1+1+1+1+1</f>
        <v>64</v>
      </c>
      <c r="C86" s="32">
        <f>1+1+1+1+1+1+1+1+1+1+1+1+1+1+1+1+1+1+1+1+1+1+1+1+1+1+1+1+1+1+1+1+1</f>
        <v>33</v>
      </c>
      <c r="D86" s="9">
        <f>B86+C86</f>
        <v>97</v>
      </c>
      <c r="E86" s="53"/>
      <c r="F86" s="6"/>
      <c r="G86" s="6"/>
    </row>
    <row r="87" spans="1:8" ht="18.75" x14ac:dyDescent="0.25">
      <c r="A87" s="4" t="s">
        <v>14</v>
      </c>
      <c r="B87" s="31">
        <f>1+1+1+1+1+1+1+1+1+1</f>
        <v>10</v>
      </c>
      <c r="C87" s="32">
        <f>1+1+1+1+1+1+1+1+1+1+1+1+1+1+0+1+1+1+1+1+1+1+1+1+1+1+1+1+1+1+1+1+1+1+0+1+0+1+1+1+1+1+1+1+1+1+1+1+1+1+1+1+1+1+1+1+1+1+1+1+1+1+1+1+1+1+1+1+1+1+1+1+1+1+1+1+1+1+1</f>
        <v>76</v>
      </c>
      <c r="D87" s="9">
        <f t="shared" ref="D87:D91" si="9">B87+C87</f>
        <v>86</v>
      </c>
      <c r="E87" s="53"/>
      <c r="F87" s="6"/>
      <c r="G87" s="6"/>
    </row>
    <row r="88" spans="1:8" ht="18.75" x14ac:dyDescent="0.25">
      <c r="A88" s="4" t="s">
        <v>15</v>
      </c>
      <c r="B88" s="31">
        <f>1+1+1+1+1+1+1+1+1+1+1+1+1+1+1+1+1+1+1+1+1+1+1+1+1+1+1+1+1+1+1+1+1+1+1+1+1+1+1+1+1+1+1+1+1+1+1+1+1+1+1+1+1+1+1+1+1+1+1+1+1+1+1+1+1+1+1+1+1+1+1+1+1</f>
        <v>73</v>
      </c>
      <c r="C88" s="32">
        <f>0+1+1+1+1+1+0+1+1+1+1+1+1+1+1+1+1+1+1+1+1+1+1+1+1+1</f>
        <v>24</v>
      </c>
      <c r="D88" s="9">
        <f t="shared" si="9"/>
        <v>97</v>
      </c>
      <c r="E88" s="53"/>
      <c r="F88" s="6"/>
      <c r="G88" s="6"/>
    </row>
    <row r="89" spans="1:8" ht="18.75" x14ac:dyDescent="0.25">
      <c r="A89" s="4" t="s">
        <v>16</v>
      </c>
      <c r="B89" s="31">
        <f>1+1+1+1+1+1+1+1+1+1+1+1+1+1+1+1+1+1+1+1+1+1+1+1+1+1+1+1+1+1+1+1+1+1+1+1+1+1+1+1+1</f>
        <v>41</v>
      </c>
      <c r="C89" s="32">
        <f>1+1+1+1+1+1+1+1+1+1+1+1+0+1+1+1+1+1+1+1+1+1+1+1+1+1+1+1+1+1+1+1+1+1+1+1+1+1+1+1+1+1+1+1+1+1+1+1+1+1+1+1+1+1+1+1</f>
        <v>55</v>
      </c>
      <c r="D89" s="9">
        <f t="shared" si="9"/>
        <v>96</v>
      </c>
      <c r="E89" s="53"/>
      <c r="F89" s="6"/>
      <c r="G89" s="6"/>
    </row>
    <row r="90" spans="1:8" ht="18.75" x14ac:dyDescent="0.25">
      <c r="A90" s="4" t="s">
        <v>17</v>
      </c>
      <c r="B90" s="33">
        <f>1+1+1+1+1+1+1+1+1+1+1+1+1+1+1+1+1+1+1+1+1+1+1+1+1+1+1+1+1+1+11+1+1+1+1+1+1+1+1+1+1+1+1</f>
        <v>53</v>
      </c>
      <c r="C90" s="34">
        <f>1+1+1+1+1+1+1+1+1+1+1+1+1+1+1+1+1+1+1+1+1+1+1+1+1+1+1+1+1+1+1+1+1+1+1+1+1+1+1+1+1+1+1+1+1+1+1</f>
        <v>47</v>
      </c>
      <c r="D90" s="9">
        <f t="shared" si="9"/>
        <v>100</v>
      </c>
      <c r="E90" s="53"/>
      <c r="F90" s="6"/>
      <c r="G90" s="6"/>
    </row>
    <row r="91" spans="1:8" ht="18.75" hidden="1" x14ac:dyDescent="0.25">
      <c r="A91" s="7" t="s">
        <v>6</v>
      </c>
      <c r="B91" s="15">
        <f>SUM(B86:B90)</f>
        <v>241</v>
      </c>
      <c r="C91" s="15">
        <f>SUM(C86:C90)</f>
        <v>235</v>
      </c>
      <c r="D91" s="15">
        <f t="shared" si="9"/>
        <v>476</v>
      </c>
      <c r="E91" s="11"/>
      <c r="F91" s="11"/>
      <c r="G91" s="11"/>
    </row>
    <row r="92" spans="1:8" ht="18.75" x14ac:dyDescent="0.25">
      <c r="A92" s="71" t="s">
        <v>25</v>
      </c>
      <c r="B92" s="80">
        <f>B91/$D$91</f>
        <v>0.50629999999999997</v>
      </c>
      <c r="C92" s="80">
        <f>C91/$D$91</f>
        <v>0.49370000000000003</v>
      </c>
      <c r="D92" s="89">
        <f>B92+C92</f>
        <v>1</v>
      </c>
      <c r="E92" s="17"/>
      <c r="F92" s="17"/>
      <c r="G92" s="17"/>
    </row>
    <row r="93" spans="1:8" ht="18.75" x14ac:dyDescent="0.25">
      <c r="A93" s="7"/>
      <c r="B93" s="11"/>
      <c r="C93" s="11"/>
      <c r="D93" s="11"/>
      <c r="E93" s="11"/>
      <c r="F93" s="11"/>
      <c r="G93" s="11"/>
      <c r="H93" s="11"/>
    </row>
    <row r="97" spans="2:2" x14ac:dyDescent="0.25">
      <c r="B97" s="51"/>
    </row>
  </sheetData>
  <mergeCells count="11">
    <mergeCell ref="A8:C8"/>
    <mergeCell ref="A2:C2"/>
    <mergeCell ref="A14:C14"/>
    <mergeCell ref="A24:C24"/>
    <mergeCell ref="A33:C33"/>
    <mergeCell ref="A73:C73"/>
    <mergeCell ref="A84:C84"/>
    <mergeCell ref="A55:C55"/>
    <mergeCell ref="A66:C66"/>
    <mergeCell ref="A19:H19"/>
    <mergeCell ref="A46:C46"/>
  </mergeCells>
  <printOptions horizontalCentered="1"/>
  <pageMargins left="1.1023622047244095" right="0.70866141732283472" top="0.74803149606299213" bottom="0.74803149606299213" header="0.31496062992125984" footer="0.31496062992125984"/>
  <pageSetup scale="65"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tabSelected="1" topLeftCell="A49" workbookViewId="0">
      <selection activeCell="A56" sqref="A56:C56"/>
    </sheetView>
  </sheetViews>
  <sheetFormatPr baseColWidth="10" defaultRowHeight="15" x14ac:dyDescent="0.25"/>
  <cols>
    <col min="1" max="1" width="85.5703125" customWidth="1"/>
    <col min="4" max="4" width="13.28515625" bestFit="1" customWidth="1"/>
    <col min="8" max="8" width="16.7109375" customWidth="1"/>
  </cols>
  <sheetData>
    <row r="1" spans="1:8" x14ac:dyDescent="0.25">
      <c r="A1" s="101" t="s">
        <v>0</v>
      </c>
      <c r="B1" s="102"/>
      <c r="C1" s="102"/>
      <c r="D1" s="38"/>
      <c r="E1" s="39"/>
      <c r="F1" s="39"/>
      <c r="G1" s="39"/>
      <c r="H1" s="39"/>
    </row>
    <row r="2" spans="1:8" x14ac:dyDescent="0.25">
      <c r="A2" s="62" t="s">
        <v>1</v>
      </c>
      <c r="B2" s="40" t="s">
        <v>19</v>
      </c>
      <c r="C2" s="41" t="s">
        <v>20</v>
      </c>
      <c r="D2" s="42" t="s">
        <v>21</v>
      </c>
      <c r="E2" s="43" t="s">
        <v>22</v>
      </c>
      <c r="F2" s="43" t="s">
        <v>23</v>
      </c>
      <c r="G2" s="44" t="s">
        <v>24</v>
      </c>
      <c r="H2" s="45" t="s">
        <v>5</v>
      </c>
    </row>
    <row r="3" spans="1:8" ht="28.5" x14ac:dyDescent="0.25">
      <c r="A3" s="46" t="s">
        <v>27</v>
      </c>
      <c r="B3" s="47">
        <f>1+1+1+1+1+1+1+1+1+1+1+1+1+1+1</f>
        <v>15</v>
      </c>
      <c r="C3" s="47">
        <f>1+1+1+1+1+1+1+1+1+1+1+1+1+1+1+1+1+1+1+1+1+1+1+1+1+1+1+1+1+1+1+1+1+1+1+1+1+1</f>
        <v>38</v>
      </c>
      <c r="D3" s="47">
        <f>1+1+1+1+1+1+1+1+1+1+1+1+1+1+1+1+1+1+1+1+1+1+1+1+1+1+1+1+1+1+1+1+1+1+1</f>
        <v>35</v>
      </c>
      <c r="E3" s="47">
        <f>1+1+1+1+1+1+1</f>
        <v>7</v>
      </c>
      <c r="F3" s="47">
        <f>1+1+1+1</f>
        <v>4</v>
      </c>
      <c r="G3" s="47">
        <v>0</v>
      </c>
      <c r="H3" s="48">
        <f>B3+C3+D3+E3+F3+G3</f>
        <v>99</v>
      </c>
    </row>
    <row r="4" spans="1:8" ht="18" x14ac:dyDescent="0.25">
      <c r="A4" s="70" t="s">
        <v>18</v>
      </c>
      <c r="B4" s="86">
        <v>0.15</v>
      </c>
      <c r="C4" s="87">
        <f>C3/H3</f>
        <v>0.38</v>
      </c>
      <c r="D4" s="87">
        <f>D3/H3</f>
        <v>0.35</v>
      </c>
      <c r="E4" s="87">
        <f>E3/H3</f>
        <v>7.0000000000000007E-2</v>
      </c>
      <c r="F4" s="87">
        <f>F3/H3</f>
        <v>0.04</v>
      </c>
      <c r="G4" s="87">
        <f>G3/H3</f>
        <v>0</v>
      </c>
      <c r="H4" s="88">
        <f>+(B4+C4+D4+E4+F4+G4)</f>
        <v>0.99</v>
      </c>
    </row>
    <row r="5" spans="1:8" ht="18.75" thickBot="1" x14ac:dyDescent="0.3">
      <c r="A5" s="49"/>
      <c r="B5" s="50"/>
      <c r="C5" s="50"/>
      <c r="D5" s="50"/>
      <c r="E5" s="50"/>
      <c r="F5" s="50"/>
      <c r="G5" s="50"/>
      <c r="H5" s="50"/>
    </row>
    <row r="6" spans="1:8" ht="15.75" thickBot="1" x14ac:dyDescent="0.3">
      <c r="A6" s="98" t="s">
        <v>2</v>
      </c>
      <c r="B6" s="99"/>
      <c r="C6" s="100"/>
      <c r="D6" s="38"/>
      <c r="E6" s="39"/>
      <c r="F6" s="39"/>
      <c r="G6" s="39"/>
      <c r="H6" s="39"/>
    </row>
    <row r="7" spans="1:8" x14ac:dyDescent="0.25">
      <c r="A7" s="61" t="s">
        <v>1</v>
      </c>
      <c r="B7" s="40" t="s">
        <v>19</v>
      </c>
      <c r="C7" s="41" t="s">
        <v>20</v>
      </c>
      <c r="D7" s="42" t="s">
        <v>21</v>
      </c>
      <c r="E7" s="43" t="s">
        <v>22</v>
      </c>
      <c r="F7" s="43" t="s">
        <v>23</v>
      </c>
      <c r="G7" s="44" t="s">
        <v>24</v>
      </c>
      <c r="H7" s="45" t="s">
        <v>5</v>
      </c>
    </row>
    <row r="8" spans="1:8" ht="42.75" x14ac:dyDescent="0.25">
      <c r="A8" s="46" t="s">
        <v>28</v>
      </c>
      <c r="B8" s="47">
        <f>1+1+1+1+1+1+1+1+1+1+1+1+1+1+1</f>
        <v>15</v>
      </c>
      <c r="C8" s="47">
        <f>1+1+1+1+1+1+1+1+1+1+1+1+1+1+1+1+1+1+1+1+1+1+1+1+1+1+1+1+1+1+1+1+1+1+1+1+1+1+1+1+1+1+1+1+1+1+1+1+1+1+1</f>
        <v>51</v>
      </c>
      <c r="D8" s="47">
        <f>1+1+1+1+1+1+1+1+1+1+1+1+1+1+1+1+1+1+1+1+1+1+1+1+1+1+1+1+1</f>
        <v>29</v>
      </c>
      <c r="E8" s="47">
        <f>1+1+1+1</f>
        <v>4</v>
      </c>
      <c r="F8" s="47">
        <v>0</v>
      </c>
      <c r="G8" s="47">
        <f>1</f>
        <v>1</v>
      </c>
      <c r="H8" s="48">
        <f>B8+C8+D8+E8+F8+G8</f>
        <v>100</v>
      </c>
    </row>
    <row r="9" spans="1:8" ht="18" x14ac:dyDescent="0.25">
      <c r="A9" s="70" t="s">
        <v>18</v>
      </c>
      <c r="B9" s="83">
        <f>B8/H8</f>
        <v>0.15</v>
      </c>
      <c r="C9" s="83">
        <f>C8/H8</f>
        <v>0.51</v>
      </c>
      <c r="D9" s="83">
        <f>D8/H8</f>
        <v>0.28999999999999998</v>
      </c>
      <c r="E9" s="83">
        <f>E8/H8</f>
        <v>0.04</v>
      </c>
      <c r="F9" s="83">
        <f>F8/H8</f>
        <v>0</v>
      </c>
      <c r="G9" s="83">
        <f>G8/H8</f>
        <v>0.01</v>
      </c>
      <c r="H9" s="85">
        <f>SUM(B9:G9)</f>
        <v>1</v>
      </c>
    </row>
    <row r="10" spans="1:8" ht="15.75" thickBot="1" x14ac:dyDescent="0.3">
      <c r="A10" s="39"/>
      <c r="B10" s="39"/>
      <c r="C10" s="39"/>
      <c r="D10" s="39"/>
      <c r="E10" s="39"/>
      <c r="F10" s="39"/>
      <c r="G10" s="39"/>
      <c r="H10" s="39"/>
    </row>
    <row r="11" spans="1:8" ht="15.75" thickBot="1" x14ac:dyDescent="0.3">
      <c r="A11" s="98" t="s">
        <v>55</v>
      </c>
      <c r="B11" s="99"/>
      <c r="C11" s="100"/>
      <c r="D11" s="38"/>
      <c r="E11" s="39"/>
      <c r="F11" s="39"/>
      <c r="G11" s="39"/>
      <c r="H11" s="39"/>
    </row>
    <row r="12" spans="1:8" x14ac:dyDescent="0.25">
      <c r="A12" s="61" t="s">
        <v>1</v>
      </c>
      <c r="B12" s="40" t="s">
        <v>19</v>
      </c>
      <c r="C12" s="41" t="s">
        <v>20</v>
      </c>
      <c r="D12" s="42" t="s">
        <v>21</v>
      </c>
      <c r="E12" s="43" t="s">
        <v>22</v>
      </c>
      <c r="F12" s="43" t="s">
        <v>23</v>
      </c>
      <c r="G12" s="44" t="s">
        <v>24</v>
      </c>
      <c r="H12" s="45" t="s">
        <v>5</v>
      </c>
    </row>
    <row r="13" spans="1:8" ht="28.5" x14ac:dyDescent="0.25">
      <c r="A13" s="46" t="s">
        <v>3</v>
      </c>
      <c r="B13" s="47">
        <f>1+1+1+1+1+1+1+1+1+1+1+1</f>
        <v>12</v>
      </c>
      <c r="C13" s="47">
        <f>1+1+1+1+1+1+1+1+1+1+1+1+1+1+1+1+1+1+1+1+1+1+1+1+1+1+1+1+1+1+1+1+1+1+1+1+1+1+1+1+1+1+1+1+1+1+1+1+1+1+1+1+1+1+1+1+1</f>
        <v>57</v>
      </c>
      <c r="D13" s="47">
        <f>1+1+1+1+1+1+1+1+1+1+1+1+1+1+1+1+1+1+1+1+1+1</f>
        <v>22</v>
      </c>
      <c r="E13" s="47">
        <f>1+1+1+1</f>
        <v>4</v>
      </c>
      <c r="F13" s="47">
        <v>0</v>
      </c>
      <c r="G13" s="47">
        <f>1+1+1+1+1</f>
        <v>5</v>
      </c>
      <c r="H13" s="48">
        <f>B13+C13+D13+E13+F13+G13</f>
        <v>100</v>
      </c>
    </row>
    <row r="14" spans="1:8" ht="18" x14ac:dyDescent="0.25">
      <c r="A14" s="70" t="s">
        <v>25</v>
      </c>
      <c r="B14" s="82">
        <f>B13/H13</f>
        <v>0.12</v>
      </c>
      <c r="C14" s="82">
        <f>C13/H13</f>
        <v>0.56999999999999995</v>
      </c>
      <c r="D14" s="83">
        <f>D13/H13</f>
        <v>0.22</v>
      </c>
      <c r="E14" s="82">
        <f>E13/H13</f>
        <v>0.04</v>
      </c>
      <c r="F14" s="82">
        <f>F13/H13</f>
        <v>0</v>
      </c>
      <c r="G14" s="82">
        <f>G13/H13</f>
        <v>0.05</v>
      </c>
      <c r="H14" s="84">
        <f>SUM(B14:G14)</f>
        <v>1</v>
      </c>
    </row>
    <row r="15" spans="1:8" ht="18.75" thickBot="1" x14ac:dyDescent="0.3">
      <c r="A15" s="49"/>
      <c r="B15" s="56"/>
      <c r="C15" s="56"/>
      <c r="D15" s="56"/>
      <c r="E15" s="56"/>
      <c r="F15" s="56"/>
      <c r="G15" s="56"/>
      <c r="H15" s="59"/>
    </row>
    <row r="16" spans="1:8" ht="15.75" thickBot="1" x14ac:dyDescent="0.3">
      <c r="A16" s="92" t="s">
        <v>53</v>
      </c>
      <c r="B16" s="93"/>
      <c r="C16" s="94"/>
      <c r="D16" s="1"/>
    </row>
    <row r="17" spans="1:6" ht="15.75" x14ac:dyDescent="0.25">
      <c r="A17" s="60" t="s">
        <v>1</v>
      </c>
      <c r="B17" s="64" t="s">
        <v>30</v>
      </c>
      <c r="C17" s="65" t="s">
        <v>31</v>
      </c>
      <c r="D17" s="8" t="s">
        <v>5</v>
      </c>
      <c r="E17" s="66" t="s">
        <v>30</v>
      </c>
      <c r="F17" s="67" t="s">
        <v>31</v>
      </c>
    </row>
    <row r="18" spans="1:6" ht="18.75" x14ac:dyDescent="0.25">
      <c r="A18" s="3" t="s">
        <v>32</v>
      </c>
      <c r="B18" s="33">
        <f>1+1+1+1+1+1+1+1+1+1+1+1+1+1+1+1+1+1+1+1+1+1+1+1+1+1+1+1+1+1+1+1+1+1+1+1+1+1+1+1+1+1+1+1+1+1+1+1+1+1+1+1+1+1+1+1+1+1+1+1+1+1+1+1+1+1+1+1+1+1+1+1+1+1+1+1+1+1+1+1+1+1+1+1+1+1+1+1+1+1+1</f>
        <v>91</v>
      </c>
      <c r="C18" s="34">
        <f>1+1+1+1+1+1+1+1+1</f>
        <v>9</v>
      </c>
      <c r="D18" s="9">
        <f>B18+C18</f>
        <v>100</v>
      </c>
      <c r="E18" s="55">
        <f>B18/D18</f>
        <v>0.91</v>
      </c>
      <c r="F18" s="55">
        <f>C18/D18</f>
        <v>0.09</v>
      </c>
    </row>
    <row r="19" spans="1:6" ht="18.75" x14ac:dyDescent="0.25">
      <c r="A19" s="3" t="s">
        <v>33</v>
      </c>
      <c r="B19" s="33">
        <f>1+1+1+1+1+1+1+1+1+1+1+1+1+1+1+1+1+1+1+1+1+1+1+1+1+1+1+1+1+1+1+1+1+1+1+1+1+1+1+1+1+1+1+1+1+1+1+1+1+1+1+1+1+1+1+1+1+1+1+1+1+1+1+1+1+1+1+1+1+1+1+1+1+1+1+1+1+1+1+1+1+1+1+1+1+1+1+1</f>
        <v>88</v>
      </c>
      <c r="C19" s="34">
        <f>0+1+1+1+1+1+1+1+1+1</f>
        <v>9</v>
      </c>
      <c r="D19" s="9">
        <f t="shared" ref="D19:D21" si="0">B19+C19</f>
        <v>97</v>
      </c>
      <c r="E19" s="55">
        <f t="shared" ref="E19:E22" si="1">B19/D19</f>
        <v>0.91</v>
      </c>
      <c r="F19" s="55">
        <f t="shared" ref="F19:F22" si="2">C19/D19</f>
        <v>0.09</v>
      </c>
    </row>
    <row r="20" spans="1:6" ht="30" x14ac:dyDescent="0.25">
      <c r="A20" s="4" t="s">
        <v>34</v>
      </c>
      <c r="B20" s="33">
        <f>1+1+1+1+1+1+1+1+1+1+1+1+1+1+1+1+1+1+1+1+1+1+1+1+1+1+1+1+1+1+1+1+1+1+1+1+1+1+1+1+1+1+1+1+1+1+1+1+1+1+1+1+1+1+1+1+1+1+1+1+1+1+1+1+1+1+1+1+1+1+1+1+1+1+1+1+1+1+1+1+1+1+1+1</f>
        <v>84</v>
      </c>
      <c r="C20" s="34">
        <f>1+1+1+1+1+1+1+1+1+1+0+0</f>
        <v>10</v>
      </c>
      <c r="D20" s="9">
        <f t="shared" si="0"/>
        <v>94</v>
      </c>
      <c r="E20" s="55">
        <f t="shared" si="1"/>
        <v>0.89</v>
      </c>
      <c r="F20" s="55">
        <f t="shared" si="2"/>
        <v>0.11</v>
      </c>
    </row>
    <row r="21" spans="1:6" ht="18.75" x14ac:dyDescent="0.25">
      <c r="A21" s="7" t="s">
        <v>6</v>
      </c>
      <c r="B21" s="73">
        <f>+(B18+B19+B20)</f>
        <v>263</v>
      </c>
      <c r="C21" s="79">
        <f t="shared" ref="C21" si="3">+(C18+C19+C20)</f>
        <v>28</v>
      </c>
      <c r="D21" s="73">
        <f t="shared" si="0"/>
        <v>291</v>
      </c>
      <c r="E21" s="55">
        <f t="shared" si="1"/>
        <v>0.9</v>
      </c>
      <c r="F21" s="55">
        <f t="shared" si="2"/>
        <v>0.1</v>
      </c>
    </row>
    <row r="22" spans="1:6" ht="18.75" x14ac:dyDescent="0.25">
      <c r="A22" s="69" t="s">
        <v>25</v>
      </c>
      <c r="B22" s="72">
        <f>B21/D21</f>
        <v>0.9</v>
      </c>
      <c r="C22" s="74">
        <f>C21/D21</f>
        <v>0.1</v>
      </c>
      <c r="D22" s="75">
        <f>B22+C22</f>
        <v>1</v>
      </c>
      <c r="E22" s="57">
        <f t="shared" si="1"/>
        <v>0.9</v>
      </c>
      <c r="F22" s="57">
        <f t="shared" si="2"/>
        <v>0.1</v>
      </c>
    </row>
    <row r="23" spans="1:6" ht="19.5" thickBot="1" x14ac:dyDescent="0.3">
      <c r="A23" s="7"/>
      <c r="B23" s="11"/>
      <c r="C23" s="11"/>
      <c r="D23" s="11"/>
    </row>
    <row r="24" spans="1:6" ht="15.75" thickBot="1" x14ac:dyDescent="0.3">
      <c r="A24" s="92" t="s">
        <v>43</v>
      </c>
      <c r="B24" s="93"/>
      <c r="C24" s="94"/>
      <c r="D24" s="2"/>
    </row>
    <row r="25" spans="1:6" ht="15.75" x14ac:dyDescent="0.25">
      <c r="A25" s="60" t="s">
        <v>1</v>
      </c>
      <c r="B25" s="64" t="s">
        <v>30</v>
      </c>
      <c r="C25" s="65" t="s">
        <v>31</v>
      </c>
      <c r="D25" s="52" t="s">
        <v>5</v>
      </c>
      <c r="E25" s="66" t="s">
        <v>30</v>
      </c>
      <c r="F25" s="67" t="s">
        <v>31</v>
      </c>
    </row>
    <row r="26" spans="1:6" ht="18.75" x14ac:dyDescent="0.3">
      <c r="A26" s="27" t="s">
        <v>35</v>
      </c>
      <c r="B26" s="35">
        <f>1+1+1+1+1+1+1+1+1+1+1+1+1+1+1+1+1+1+1+1+1+1+1+1+1+1+1+1+1+1+1+1+1+1+1+1+1+1+1+1+1+1+1+1+1+1+1+1+1+1+1+1+1+1+1+1+1+1+1+1+1+1+1+1+1+1+1+1+1+1+1+1+1+1+1+1</f>
        <v>76</v>
      </c>
      <c r="C26" s="36">
        <f>1+1+1+1+1+1+1+1+1+1+1+1+1+1+1+1+1+1+1+1+1+1+1+1</f>
        <v>24</v>
      </c>
      <c r="D26" s="10">
        <f>B26+C26</f>
        <v>100</v>
      </c>
      <c r="E26" s="55">
        <f>B26/D26</f>
        <v>0.76</v>
      </c>
      <c r="F26" s="55">
        <f>C26/D26</f>
        <v>0.24</v>
      </c>
    </row>
    <row r="27" spans="1:6" ht="18.75" x14ac:dyDescent="0.3">
      <c r="A27" s="27" t="s">
        <v>36</v>
      </c>
      <c r="B27" s="35">
        <f>1+1+1+1+1+1+1+1+1+1+1+1+1+1+1+1+1+1+1+1+1+1+1+1+1+1+1+1+1+1+11+1+1+1+1+1+1+1+1+1+1+1+1+1+1+1+1+1+1+1+1+1+1+1+1+1+1+1+1+1+1+1+1+1+1</f>
        <v>75</v>
      </c>
      <c r="C27" s="36">
        <f>1+1+1+1+1+1+1+1+1+1+1+1+1+1+1+1+1+1+0+1+1+1+1</f>
        <v>22</v>
      </c>
      <c r="D27" s="10">
        <f>B27+C27</f>
        <v>97</v>
      </c>
      <c r="E27" s="55">
        <f t="shared" ref="E27:E32" si="4">B27/D27</f>
        <v>0.77</v>
      </c>
      <c r="F27" s="55">
        <f t="shared" ref="F27:F32" si="5">C27/D27</f>
        <v>0.23</v>
      </c>
    </row>
    <row r="28" spans="1:6" ht="18.75" x14ac:dyDescent="0.3">
      <c r="A28" s="27" t="s">
        <v>37</v>
      </c>
      <c r="B28" s="35">
        <f>1+1+1+1+1+1+1+1+1+1+1+1+1+1+1+1+1+1+1+1+1+1+1+1+1+1+1+1+1+1+1+1+1+1+1+1+1+1+1+1+1+1+1+1+1+1+1+1+1+1+1+1+1+1+1+1+1+1+1+1+1+1+1+1+1+1+1+1+1+1+1</f>
        <v>71</v>
      </c>
      <c r="C28" s="36">
        <f>1+1+1+1+1+1+1+1+1+1+1+1+1+1+1+1+1+1+1+0+1+1+1+1+1+1+1+1+1+1</f>
        <v>29</v>
      </c>
      <c r="D28" s="10">
        <f>B28+C28</f>
        <v>100</v>
      </c>
      <c r="E28" s="55">
        <f t="shared" si="4"/>
        <v>0.71</v>
      </c>
      <c r="F28" s="55">
        <f t="shared" si="5"/>
        <v>0.28999999999999998</v>
      </c>
    </row>
    <row r="29" spans="1:6" ht="18.75" x14ac:dyDescent="0.3">
      <c r="A29" s="27" t="s">
        <v>38</v>
      </c>
      <c r="B29" s="35">
        <f>1+1+1+1+1+1+1+1+1+1+1+1+1+1+1+1+1+1+1+1+1+1+1+1+1+1+1+1+1+1+1+1+1+1+1+1+1+1+1+1+1+1+1+1+1+1+1+1+1+1+1+1+1+1+1+1+1+1+1+1+1+1+1+1+1+1+1+1+1+1+1</f>
        <v>71</v>
      </c>
      <c r="C29" s="36">
        <f>1+1+1+1+1+1+1+1+1+1+1+1+1+1+1+0+1+1+1+1+1+1+1+1+1+1+1+1+1</f>
        <v>28</v>
      </c>
      <c r="D29" s="10">
        <f>B29+C29</f>
        <v>99</v>
      </c>
      <c r="E29" s="55">
        <f t="shared" si="4"/>
        <v>0.72</v>
      </c>
      <c r="F29" s="55">
        <f t="shared" si="5"/>
        <v>0.28000000000000003</v>
      </c>
    </row>
    <row r="30" spans="1:6" ht="18.75" x14ac:dyDescent="0.3">
      <c r="A30" s="27" t="s">
        <v>39</v>
      </c>
      <c r="B30" s="35">
        <f>1+1+1+1+1+1+1+1+1+1+1+1+1+1+1+1+1+1+1+1+1+1+1+1+1+1+1+1+1+1+1+1+1+1+1+1+1+1+1+1+1+1+1+1+1+1+1+1+1+1+1+1+1+1+1+1+1+1+1+1+1+1+1+1+1+1+1+1+1+1+1</f>
        <v>71</v>
      </c>
      <c r="C30" s="36">
        <f>1+1+1+1+1+1+1+1+1+1+1+1+1+1+1+1+1+1+1+1+1+1+0+1+1+1+1+0+1</f>
        <v>27</v>
      </c>
      <c r="D30" s="10">
        <f t="shared" ref="D30:D32" si="6">B30+C30</f>
        <v>98</v>
      </c>
      <c r="E30" s="55">
        <f t="shared" si="4"/>
        <v>0.72</v>
      </c>
      <c r="F30" s="55">
        <f t="shared" si="5"/>
        <v>0.28000000000000003</v>
      </c>
    </row>
    <row r="31" spans="1:6" ht="30" x14ac:dyDescent="0.3">
      <c r="A31" s="28" t="s">
        <v>40</v>
      </c>
      <c r="B31" s="35">
        <f>1+1+1+1+1+1+1+1+1+1+1+1+1+1+1+1+1+1+1+1+1+1+1+1+1+1+1+1+1+1+1+1+1+1+1+1+1+1+1+1+1+1+1+1+1+1+1+1+1+1+1+1+1+1+1+1+1+1+1+1+1+1+1+1+1+1+1+1+1+1+1</f>
        <v>71</v>
      </c>
      <c r="C31" s="36">
        <f>1+1+1+1+1+1+1+1+1+1+1+1+1+1+1+1+1+1+1+1+1+1+1+1+1+1+1+1</f>
        <v>28</v>
      </c>
      <c r="D31" s="10">
        <f t="shared" si="6"/>
        <v>99</v>
      </c>
      <c r="E31" s="55">
        <f t="shared" si="4"/>
        <v>0.72</v>
      </c>
      <c r="F31" s="55">
        <f t="shared" si="5"/>
        <v>0.28000000000000003</v>
      </c>
    </row>
    <row r="32" spans="1:6" ht="18.75" x14ac:dyDescent="0.3">
      <c r="A32" s="29" t="s">
        <v>41</v>
      </c>
      <c r="B32" s="37">
        <f>1+1+1+1+1+1+1+1+1+1+1+1+1+1+1+1+1+1+1+1+1+1+1+1+1+1+1+1+1+1+1+1+1+1+1+1+1+1+1+1+1+1+1+1+1+1+1+1+1+1+1+1+1+1+1+1+1+1+1+1+1+1+1+1+1+1+1+1+1+1+1+1+1+1+1+1+1+1+1+1+1+1+1+1+1+1+1+1+1+1+1+1+1+1+1+1+1+1+1+1</f>
        <v>100</v>
      </c>
      <c r="C32" s="34">
        <v>0</v>
      </c>
      <c r="D32" s="54">
        <f t="shared" si="6"/>
        <v>100</v>
      </c>
      <c r="E32" s="55">
        <f t="shared" si="4"/>
        <v>1</v>
      </c>
      <c r="F32" s="55">
        <f t="shared" si="5"/>
        <v>0</v>
      </c>
    </row>
    <row r="33" spans="1:6" ht="18.75" x14ac:dyDescent="0.3">
      <c r="A33" s="24" t="s">
        <v>6</v>
      </c>
      <c r="B33" s="73">
        <f>SUM(B26:B32)</f>
        <v>535</v>
      </c>
      <c r="C33" s="73">
        <f>SUM(C26:C32)</f>
        <v>158</v>
      </c>
      <c r="D33" s="77">
        <f t="shared" ref="D33" si="7">+B33+C33</f>
        <v>693</v>
      </c>
    </row>
    <row r="34" spans="1:6" ht="18.75" x14ac:dyDescent="0.25">
      <c r="A34" s="71" t="s">
        <v>25</v>
      </c>
      <c r="B34" s="72">
        <f>B33/D33</f>
        <v>0.77</v>
      </c>
      <c r="C34" s="74">
        <f>C33/D33</f>
        <v>0.23</v>
      </c>
      <c r="D34" s="75">
        <f>+B34+C34</f>
        <v>1</v>
      </c>
    </row>
    <row r="35" spans="1:6" ht="19.5" thickBot="1" x14ac:dyDescent="0.3">
      <c r="A35" s="7"/>
      <c r="B35" s="11"/>
      <c r="C35" s="11"/>
      <c r="D35" s="11"/>
    </row>
    <row r="36" spans="1:6" ht="15.75" thickBot="1" x14ac:dyDescent="0.3">
      <c r="A36" s="92" t="s">
        <v>44</v>
      </c>
      <c r="B36" s="93"/>
      <c r="C36" s="94"/>
      <c r="D36" s="2"/>
    </row>
    <row r="37" spans="1:6" ht="15.75" x14ac:dyDescent="0.25">
      <c r="A37" s="60" t="s">
        <v>1</v>
      </c>
      <c r="B37" s="64" t="s">
        <v>30</v>
      </c>
      <c r="C37" s="65" t="s">
        <v>31</v>
      </c>
      <c r="D37" s="8" t="s">
        <v>5</v>
      </c>
      <c r="E37" s="66" t="s">
        <v>30</v>
      </c>
      <c r="F37" s="67" t="s">
        <v>31</v>
      </c>
    </row>
    <row r="38" spans="1:6" ht="18.75" x14ac:dyDescent="0.25">
      <c r="A38" s="22" t="s">
        <v>42</v>
      </c>
      <c r="B38" s="33">
        <f>1+1+1+1+1+1+1+1+1+1+1+1+1+1+1+1+1+1+1+1+1+1+1+1+1+1+1+1+1+1+1+1+1+1+1+1+1+1+1+1+1+1+1+1+1+1+1+1+1+1+1+1+1+1+1+1+1+1+1+1+1+1+1+1+1+1+1+1+1+1+1+1+1+1+1+1+1+1+1+1</f>
        <v>80</v>
      </c>
      <c r="C38" s="34">
        <f>1+1+1+1+1+1+1+1+1+1+1+1+1+1+1+1+1</f>
        <v>17</v>
      </c>
      <c r="D38" s="9">
        <f>B38+C38</f>
        <v>97</v>
      </c>
      <c r="E38" s="55">
        <f t="shared" ref="E38:E40" si="8">B38/D38</f>
        <v>0.82</v>
      </c>
      <c r="F38" s="55">
        <f t="shared" ref="F38:F40" si="9">C38/D38</f>
        <v>0.18</v>
      </c>
    </row>
    <row r="39" spans="1:6" ht="18.75" x14ac:dyDescent="0.25">
      <c r="A39" s="23" t="s">
        <v>45</v>
      </c>
      <c r="B39" s="33">
        <f>1+1+1+1+1+1+1+1+1+1+1+1+1+1+1+1+1+1+1+1+1+1+1+1+1+1+1+1+1+1+1+1+1+1+1+1+1+1+1+1+1+1+1+1+1+1+1+1+1+1+1+1+1+1+1+1+1+1+1+1+1+1+1+1</f>
        <v>64</v>
      </c>
      <c r="C39" s="34">
        <f>1+1+1+1+1+1+1+1+1+1+1+1+1+1+1+1+1+1+0+1+1+1+1+1+1+1+1+1+1+1+1+1+1+1+1</f>
        <v>34</v>
      </c>
      <c r="D39" s="9">
        <f t="shared" ref="D39:D40" si="10">B39+C39</f>
        <v>98</v>
      </c>
      <c r="E39" s="55">
        <f t="shared" si="8"/>
        <v>0.65</v>
      </c>
      <c r="F39" s="55">
        <f t="shared" si="9"/>
        <v>0.35</v>
      </c>
    </row>
    <row r="40" spans="1:6" ht="18.75" x14ac:dyDescent="0.25">
      <c r="A40" s="23" t="s">
        <v>46</v>
      </c>
      <c r="B40" s="33">
        <f>1+1+1+1+1+1+1+1+1+1+1+1+1+1+1+1+0+0+1+1+1+1+1+1+1+1+1+1+1+1+1+1+1+1+1+1+1+1+1+1+1+1+1+1+1+1+1+1+1+1+1</f>
        <v>49</v>
      </c>
      <c r="C40" s="34">
        <f>1+1+1+1+1+1+1+1+1+1+1+1+1+1+1+1+1+1+1+1+1+1+1+1+1+1+1+1+1+1+1+1+1+1+1+1+1+1+0+1+1+1+1+1+1+1+1+1+1</f>
        <v>48</v>
      </c>
      <c r="D40" s="9">
        <f t="shared" si="10"/>
        <v>97</v>
      </c>
      <c r="E40" s="55">
        <f t="shared" si="8"/>
        <v>0.51</v>
      </c>
      <c r="F40" s="55">
        <f t="shared" si="9"/>
        <v>0.49</v>
      </c>
    </row>
    <row r="41" spans="1:6" ht="18.75" x14ac:dyDescent="0.25">
      <c r="A41" s="24" t="s">
        <v>6</v>
      </c>
      <c r="B41" s="73">
        <f>B38+B39+B40</f>
        <v>193</v>
      </c>
      <c r="C41" s="73">
        <f>C38+C39+C40</f>
        <v>99</v>
      </c>
      <c r="D41" s="73">
        <f>B41+C41</f>
        <v>292</v>
      </c>
    </row>
    <row r="42" spans="1:6" ht="18.75" x14ac:dyDescent="0.25">
      <c r="A42" s="71" t="s">
        <v>25</v>
      </c>
      <c r="B42" s="72">
        <f>B41/D41</f>
        <v>0.66</v>
      </c>
      <c r="C42" s="74">
        <f>C41/D41</f>
        <v>0.34</v>
      </c>
      <c r="D42" s="75">
        <f>+B42+C42</f>
        <v>1</v>
      </c>
    </row>
    <row r="43" spans="1:6" ht="18.75" x14ac:dyDescent="0.25">
      <c r="A43" s="7"/>
      <c r="B43" s="72">
        <f>B38/$D$38</f>
        <v>0.82</v>
      </c>
      <c r="C43" s="72">
        <f>C38/$D$38</f>
        <v>0.18</v>
      </c>
      <c r="D43" s="81"/>
    </row>
    <row r="44" spans="1:6" ht="15.75" thickBot="1" x14ac:dyDescent="0.3">
      <c r="A44" s="2"/>
      <c r="B44" s="2"/>
      <c r="C44" s="2"/>
      <c r="D44" s="2"/>
    </row>
    <row r="45" spans="1:6" ht="15.75" thickBot="1" x14ac:dyDescent="0.3">
      <c r="A45" s="92" t="s">
        <v>4</v>
      </c>
      <c r="B45" s="93"/>
      <c r="C45" s="94"/>
      <c r="D45" s="1"/>
    </row>
    <row r="46" spans="1:6" ht="15.75" x14ac:dyDescent="0.25">
      <c r="A46" s="60" t="s">
        <v>1</v>
      </c>
      <c r="B46" s="64" t="s">
        <v>30</v>
      </c>
      <c r="C46" s="65" t="s">
        <v>31</v>
      </c>
      <c r="D46" s="8" t="s">
        <v>5</v>
      </c>
      <c r="E46" s="66" t="s">
        <v>30</v>
      </c>
      <c r="F46" s="67" t="s">
        <v>31</v>
      </c>
    </row>
    <row r="47" spans="1:6" ht="45" x14ac:dyDescent="0.25">
      <c r="A47" s="4" t="s">
        <v>47</v>
      </c>
      <c r="B47" s="31">
        <f>1+1+1+1+1+1+1+1+1+1+1+1+1+1+1+1+1+1+1+1+1+1+1+1+1+1+1+1+1+1+1+1+1+1+1+1+1+1+1+1+1+1+1+1+1+1+1+1+1+1+1+1+1+1+1+1+1+1+1+1+1+1+1+1+1+1+1+1+1+1+1+1+1+1+1</f>
        <v>75</v>
      </c>
      <c r="C47" s="32">
        <f>1+1+1+1+1+1+1+1+1+1+1+1+1+1+1+1+1+1+1</f>
        <v>19</v>
      </c>
      <c r="D47" s="9">
        <f>B47+C47</f>
        <v>94</v>
      </c>
      <c r="E47" s="55">
        <f t="shared" ref="E47:E51" si="11">B47/D47</f>
        <v>0.8</v>
      </c>
      <c r="F47" s="55">
        <f t="shared" ref="F47:F51" si="12">C47/D47</f>
        <v>0.2</v>
      </c>
    </row>
    <row r="48" spans="1:6" ht="30" x14ac:dyDescent="0.25">
      <c r="A48" s="4" t="s">
        <v>48</v>
      </c>
      <c r="B48" s="31">
        <f>1+1+1+1+1+1+1+1+1+1+1+1+1+1+1+1+1+1+1+1+1+1+1+1+1+1+1+1+1+1+1+1+1+1+1+1+1+1+1+1+1+1+1+1+1+1+1+1+1+1+1+1+1+1+1+1+1+1+1+1+1+1+1+1+1+1+1+1+1+1+1+1+1+1+1+1</f>
        <v>76</v>
      </c>
      <c r="C48" s="32">
        <f>1+1+1+1+1+1+1+1+1+1+1+1+0+1+1+1+1+1</f>
        <v>17</v>
      </c>
      <c r="D48" s="9">
        <f t="shared" ref="D48:D51" si="13">B48+C48</f>
        <v>93</v>
      </c>
      <c r="E48" s="55">
        <f t="shared" si="11"/>
        <v>0.82</v>
      </c>
      <c r="F48" s="55">
        <f t="shared" si="12"/>
        <v>0.18</v>
      </c>
    </row>
    <row r="49" spans="1:6" ht="18.75" x14ac:dyDescent="0.25">
      <c r="A49" s="4" t="s">
        <v>49</v>
      </c>
      <c r="B49" s="31">
        <f>1+1+1+1+1+1+1+1+1+1+1+1+1+1+1+1+1+1+1+1+1+1+1+1+1+1+1+1+1+1+1+1+1+1+1+1+1+1+1+1+1+1+1+1+1+1+1+1+1+1+1+1+1+1+1+1+1+1+1+1+1+1+1+1+1+1+1+1+1+1+1+1</f>
        <v>72</v>
      </c>
      <c r="C49" s="32">
        <f>1+1+1+1+1+1+1+1+1+1+1+1+1+1+1+1+1+1+1+1+1+1+1+1+1</f>
        <v>25</v>
      </c>
      <c r="D49" s="9">
        <f t="shared" si="13"/>
        <v>97</v>
      </c>
      <c r="E49" s="55">
        <f t="shared" si="11"/>
        <v>0.74</v>
      </c>
      <c r="F49" s="55">
        <f t="shared" si="12"/>
        <v>0.26</v>
      </c>
    </row>
    <row r="50" spans="1:6" ht="30" x14ac:dyDescent="0.25">
      <c r="A50" s="4" t="s">
        <v>50</v>
      </c>
      <c r="B50" s="31">
        <f>1+1+1+1+1+1+1+1+1+1+1+1+1+1+1+1+1+1+1+1+1+1+1+1+1+1+1+1+1+1+1+1+1+1+1+1+1+1+1+1+1+1+1+1+1+1+1+1+1+1+1+1+1+1+1+1+1+1+1+1+1+1+1+1+1+1+1+1+1+1+1+1+1+1</f>
        <v>74</v>
      </c>
      <c r="C50" s="32">
        <f>1+1+1+1+1+1+1+1+1+1+1+1+1+1+1+1+1+1+1+1+1+1+1+0+0+0</f>
        <v>23</v>
      </c>
      <c r="D50" s="9">
        <f t="shared" si="13"/>
        <v>97</v>
      </c>
      <c r="E50" s="55">
        <f t="shared" si="11"/>
        <v>0.76</v>
      </c>
      <c r="F50" s="55">
        <f t="shared" si="12"/>
        <v>0.24</v>
      </c>
    </row>
    <row r="51" spans="1:6" ht="18.75" x14ac:dyDescent="0.25">
      <c r="A51" s="4" t="s">
        <v>51</v>
      </c>
      <c r="B51" s="33">
        <f>0+1+1+1+1+1+1+1+1+1+1+1+1+1+1+1+1+1+1+1+1+1+1+1+1+1+1+1+1+1+1+1+1+1+1+1+1+1+1+1+1+1+1+1+1+1+1+1+1+1+1+1+1+1+1+1+1+1+1+1+1+1+1+1+1+1</f>
        <v>65</v>
      </c>
      <c r="C51" s="34">
        <f>1+0+1+0+0+1+1+1+1+1+1+1+1+1+1+1+1+1+1+1+1+1+1+1+1+1+1+1+1+1+0+0</f>
        <v>27</v>
      </c>
      <c r="D51" s="9">
        <f t="shared" si="13"/>
        <v>92</v>
      </c>
      <c r="E51" s="55">
        <f t="shared" si="11"/>
        <v>0.71</v>
      </c>
      <c r="F51" s="55">
        <f t="shared" si="12"/>
        <v>0.28999999999999998</v>
      </c>
    </row>
    <row r="52" spans="1:6" ht="18.75" x14ac:dyDescent="0.25">
      <c r="A52" s="24" t="s">
        <v>6</v>
      </c>
      <c r="B52" s="73">
        <f>SUM(B47:B51)</f>
        <v>362</v>
      </c>
      <c r="C52" s="79">
        <f t="shared" ref="C52" si="14">SUM(C47:C51)</f>
        <v>111</v>
      </c>
      <c r="D52" s="73">
        <f>B52+C52</f>
        <v>473</v>
      </c>
    </row>
    <row r="53" spans="1:6" ht="18.75" x14ac:dyDescent="0.25">
      <c r="A53" s="71" t="s">
        <v>25</v>
      </c>
      <c r="B53" s="72">
        <f>B52/D52</f>
        <v>0.77</v>
      </c>
      <c r="C53" s="74">
        <f>C52/D52</f>
        <v>0.23</v>
      </c>
      <c r="D53" s="75">
        <f>+B53+C53</f>
        <v>1</v>
      </c>
    </row>
    <row r="54" spans="1:6" ht="18.75" x14ac:dyDescent="0.25">
      <c r="A54" s="30" t="s">
        <v>54</v>
      </c>
      <c r="B54" s="80">
        <f>B47/D47</f>
        <v>0.79790000000000005</v>
      </c>
      <c r="C54" s="80">
        <f>C47/D47</f>
        <v>0.2021</v>
      </c>
      <c r="D54" s="81"/>
    </row>
    <row r="55" spans="1:6" ht="15.75" thickBot="1" x14ac:dyDescent="0.3">
      <c r="A55" s="2"/>
      <c r="B55" s="2"/>
      <c r="C55" s="2"/>
      <c r="D55" s="2"/>
    </row>
    <row r="56" spans="1:6" ht="15.75" thickBot="1" x14ac:dyDescent="0.3">
      <c r="A56" s="92" t="s">
        <v>57</v>
      </c>
      <c r="B56" s="93"/>
      <c r="C56" s="94"/>
      <c r="D56" s="1"/>
    </row>
    <row r="57" spans="1:6" ht="15.75" x14ac:dyDescent="0.25">
      <c r="A57" s="60" t="s">
        <v>1</v>
      </c>
      <c r="B57" s="64" t="s">
        <v>30</v>
      </c>
      <c r="C57" s="65" t="s">
        <v>31</v>
      </c>
      <c r="D57" s="8" t="s">
        <v>5</v>
      </c>
      <c r="E57" s="63" t="s">
        <v>30</v>
      </c>
      <c r="F57" s="68" t="s">
        <v>31</v>
      </c>
    </row>
    <row r="58" spans="1:6" ht="30" x14ac:dyDescent="0.3">
      <c r="A58" s="4" t="s">
        <v>52</v>
      </c>
      <c r="B58" s="33">
        <f>1+1+1+1+1+1+1+1+1+1+1+1+1+1+1+1+1+1+1+1+1+1+1+1+1+1+1+1+1+1+1+1+1+1+1+1+1+1+1+1+1+1+1+1+1+1+1+1+1+1+1+1+1+1</f>
        <v>54</v>
      </c>
      <c r="C58" s="34">
        <f>1+1+1+1+1+1+1+1+1+1+1+1+1+1+1+1+1+1+1+1+1+1+1+1+1+1+1+1+1+1+1+1+1+1+1+1+1+1+1+1+1+1</f>
        <v>42</v>
      </c>
      <c r="D58" s="9">
        <f>B58+C58</f>
        <v>96</v>
      </c>
      <c r="E58" s="58">
        <f t="shared" ref="E58" si="15">B58/D58</f>
        <v>0.56000000000000005</v>
      </c>
      <c r="F58" s="58">
        <f t="shared" ref="F58" si="16">C58/D58</f>
        <v>0.44</v>
      </c>
    </row>
    <row r="59" spans="1:6" ht="18.75" x14ac:dyDescent="0.3">
      <c r="A59" s="1" t="s">
        <v>6</v>
      </c>
      <c r="B59" s="77">
        <f>SUM(B58:B58)</f>
        <v>54</v>
      </c>
      <c r="C59" s="78">
        <f>C58</f>
        <v>42</v>
      </c>
      <c r="D59" s="77">
        <f>D58</f>
        <v>96</v>
      </c>
    </row>
    <row r="60" spans="1:6" ht="18.75" x14ac:dyDescent="0.25">
      <c r="A60" s="71" t="s">
        <v>25</v>
      </c>
      <c r="B60" s="72">
        <f>B59/D59</f>
        <v>0.56000000000000005</v>
      </c>
      <c r="C60" s="74">
        <f>C59/D59</f>
        <v>0.44</v>
      </c>
      <c r="D60" s="75">
        <f>+B60+C60</f>
        <v>1</v>
      </c>
    </row>
    <row r="61" spans="1:6" ht="19.5" thickBot="1" x14ac:dyDescent="0.35">
      <c r="A61" s="2"/>
      <c r="B61" s="12"/>
      <c r="C61" s="12"/>
      <c r="D61" s="12"/>
    </row>
    <row r="62" spans="1:6" ht="15.75" thickBot="1" x14ac:dyDescent="0.3">
      <c r="A62" s="92" t="s">
        <v>7</v>
      </c>
      <c r="B62" s="93"/>
      <c r="C62" s="94"/>
      <c r="D62" s="20"/>
    </row>
    <row r="63" spans="1:6" ht="15.75" x14ac:dyDescent="0.25">
      <c r="A63" s="60" t="s">
        <v>1</v>
      </c>
      <c r="B63" s="64" t="s">
        <v>30</v>
      </c>
      <c r="C63" s="65" t="s">
        <v>31</v>
      </c>
      <c r="D63" s="8" t="s">
        <v>5</v>
      </c>
      <c r="E63" s="66" t="s">
        <v>30</v>
      </c>
      <c r="F63" s="67" t="s">
        <v>31</v>
      </c>
    </row>
    <row r="64" spans="1:6" ht="18.75" x14ac:dyDescent="0.25">
      <c r="A64" s="4" t="s">
        <v>8</v>
      </c>
      <c r="B64" s="31">
        <f>1+1+1+1+1+1+1+1+1+1+1+1+1+1+1+1+1+1+1+1+1+1+1+1+1+1+1+1+1+1+1+1+1+1+1+1+1+1+1+1+1+1+1+1+1+1+1+1+1+1+1+1+1+1+1+1+1+1+1+1+1+1+1+1+1+1+1+1+1+1+1+1+1+1+1+1+1+1+1</f>
        <v>79</v>
      </c>
      <c r="C64" s="32">
        <f>1+1+1+1+1+1+11+1+1+1+1</f>
        <v>21</v>
      </c>
      <c r="D64" s="9">
        <f>B64+C64</f>
        <v>100</v>
      </c>
      <c r="E64" s="55">
        <f t="shared" ref="E64:E68" si="17">B64/D64</f>
        <v>0.79</v>
      </c>
      <c r="F64" s="55">
        <f t="shared" ref="F64:F68" si="18">C64/D64</f>
        <v>0.21</v>
      </c>
    </row>
    <row r="65" spans="1:6" ht="18.75" x14ac:dyDescent="0.25">
      <c r="A65" s="4" t="s">
        <v>9</v>
      </c>
      <c r="B65" s="31">
        <f>1+1+1+1+1+1+1+1+1+1+1+1+1+1+1+1+1+1+1+1+1+1+1+1+1+1+1+1+1+1+1+1+1+1+1+1+1+1+1+1+1+1+1+1+1+1+1+1+1+1+1+1+1+1+1+1+1+1+1+1+1+1+1+1+1+1+1+1+1+1+1+1+1</f>
        <v>73</v>
      </c>
      <c r="C65" s="32">
        <f>1+1+1+1+1+1+1+1+1+1+1+0+1+1+1+1+1+1+1+1+1+1+1+1+1+1+0</f>
        <v>25</v>
      </c>
      <c r="D65" s="9">
        <f t="shared" ref="D65:D69" si="19">B65+C65</f>
        <v>98</v>
      </c>
      <c r="E65" s="55">
        <f t="shared" si="17"/>
        <v>0.74</v>
      </c>
      <c r="F65" s="55">
        <f t="shared" si="18"/>
        <v>0.26</v>
      </c>
    </row>
    <row r="66" spans="1:6" ht="18.75" x14ac:dyDescent="0.25">
      <c r="A66" s="4" t="s">
        <v>10</v>
      </c>
      <c r="B66" s="31">
        <f>1+1+1+1+1+1+1+1+1+1+1+1+1+1+1+1+1+1+1+1+1+1+1+1+1+1+1+1+1+1+1+1+1+1+1+1+1+1+1+1+1+1+1+1+1+1+1+1+1+1+1+1+1+1+1+1+1+1+1+1+1+1+1+1+1+1+1+1+1+1+1+1+1+1+1+1+1+1+1+1</f>
        <v>80</v>
      </c>
      <c r="C66" s="32">
        <f>1+1+1+1+1+1+1+1+1+1+1+1+1+1+1+1+1+1+1+1</f>
        <v>20</v>
      </c>
      <c r="D66" s="9">
        <f t="shared" si="19"/>
        <v>100</v>
      </c>
      <c r="E66" s="55">
        <f t="shared" si="17"/>
        <v>0.8</v>
      </c>
      <c r="F66" s="55">
        <f t="shared" si="18"/>
        <v>0.2</v>
      </c>
    </row>
    <row r="67" spans="1:6" ht="18.75" x14ac:dyDescent="0.25">
      <c r="A67" s="4" t="s">
        <v>11</v>
      </c>
      <c r="B67" s="31">
        <f>1+1+1+1+1+1+1+1+1+1+1+1+1+1+1+1+1+1+1+1+1+1+1+1+1+1+1+1+1+1+1+1+1+1+1+1+1+1+1+1+1+1+1+1+1+1+1+1+1+1+1+1+1+1+1+1+1+1+1+1+1+1+1+1+1+1+1+1+1+1+1+1</f>
        <v>72</v>
      </c>
      <c r="C67" s="32">
        <f>1+1+1+1+1+1+1+1+1+1+1+1+1+1+1+1+1+1+1+1+1+1+1+1+1+1+1</f>
        <v>27</v>
      </c>
      <c r="D67" s="9">
        <f t="shared" si="19"/>
        <v>99</v>
      </c>
      <c r="E67" s="55">
        <f t="shared" si="17"/>
        <v>0.73</v>
      </c>
      <c r="F67" s="55">
        <f t="shared" si="18"/>
        <v>0.27</v>
      </c>
    </row>
    <row r="68" spans="1:6" ht="18.75" x14ac:dyDescent="0.25">
      <c r="A68" s="4" t="s">
        <v>12</v>
      </c>
      <c r="B68" s="33">
        <f>1+1+1+1+1+1+1+1+1+1+1+1+1+1+1+1+1+1+1+1+1+1+1+1+1+1+1+1+1+1+1+1+1+1+1+1+1+1+1+1+1+1+1+1+1+1+1+1+1+1+1+1+1+1+1+1+1+1+1+1+1+1+1+1+1+1+1+1+1+1+1+1+1+1</f>
        <v>74</v>
      </c>
      <c r="C68" s="34">
        <f>1+1+1+1+1+1+1+1+1+1+1+1+0+1+1+1+1+1+1+1+1+1+1+1+0+0</f>
        <v>23</v>
      </c>
      <c r="D68" s="9">
        <f t="shared" si="19"/>
        <v>97</v>
      </c>
      <c r="E68" s="55">
        <f t="shared" si="17"/>
        <v>0.76</v>
      </c>
      <c r="F68" s="55">
        <f t="shared" si="18"/>
        <v>0.24</v>
      </c>
    </row>
    <row r="69" spans="1:6" ht="18.75" x14ac:dyDescent="0.25">
      <c r="A69" s="24" t="s">
        <v>6</v>
      </c>
      <c r="B69" s="73">
        <f>SUM(B64:B68)</f>
        <v>378</v>
      </c>
      <c r="C69" s="76">
        <f t="shared" ref="C69" si="20">SUM(C64:C68)</f>
        <v>116</v>
      </c>
      <c r="D69" s="73">
        <f t="shared" si="19"/>
        <v>494</v>
      </c>
    </row>
    <row r="70" spans="1:6" ht="18.75" x14ac:dyDescent="0.25">
      <c r="A70" s="71" t="s">
        <v>25</v>
      </c>
      <c r="B70" s="72">
        <f>B69/D69</f>
        <v>0.77</v>
      </c>
      <c r="C70" s="74">
        <f>C69/D69</f>
        <v>0.23</v>
      </c>
      <c r="D70" s="75">
        <f>+B70+C70</f>
        <v>1</v>
      </c>
    </row>
    <row r="71" spans="1:6" ht="15.75" thickBot="1" x14ac:dyDescent="0.3"/>
    <row r="72" spans="1:6" ht="15.75" thickBot="1" x14ac:dyDescent="0.3">
      <c r="A72" s="92" t="s">
        <v>26</v>
      </c>
      <c r="B72" s="93"/>
      <c r="C72" s="94"/>
      <c r="D72" s="20"/>
    </row>
    <row r="73" spans="1:6" ht="15.75" x14ac:dyDescent="0.25">
      <c r="A73" s="60" t="s">
        <v>1</v>
      </c>
      <c r="B73" s="64" t="s">
        <v>30</v>
      </c>
      <c r="C73" s="65" t="s">
        <v>31</v>
      </c>
      <c r="D73" s="8" t="s">
        <v>5</v>
      </c>
      <c r="E73" s="66" t="s">
        <v>30</v>
      </c>
      <c r="F73" s="67" t="s">
        <v>31</v>
      </c>
    </row>
    <row r="74" spans="1:6" ht="18.75" x14ac:dyDescent="0.25">
      <c r="A74" s="4" t="s">
        <v>13</v>
      </c>
      <c r="B74" s="31">
        <v>64</v>
      </c>
      <c r="C74" s="32">
        <f>1+1+1+1+1+1+1+1+1+1+1+1+1+1+1+1+1+1+1+1+1+1+1+1+0+1+1+1+1+1+1+1+1+1+0</f>
        <v>33</v>
      </c>
      <c r="D74" s="9">
        <f>B74+C74</f>
        <v>97</v>
      </c>
      <c r="E74" s="55">
        <f t="shared" ref="E74:E78" si="21">B74/D74</f>
        <v>0.66</v>
      </c>
      <c r="F74" s="55">
        <f t="shared" ref="F74:F78" si="22">C74/D74</f>
        <v>0.34</v>
      </c>
    </row>
    <row r="75" spans="1:6" ht="18.75" x14ac:dyDescent="0.25">
      <c r="A75" s="4" t="s">
        <v>14</v>
      </c>
      <c r="B75" s="31">
        <f>1+1+1+1+1+1+1+1+1+1</f>
        <v>10</v>
      </c>
      <c r="C75" s="32">
        <f>1+1+1+1+1+1+1+1+1+1+1+1+1+1+1+1+1+1+1+1+1+1+1+1+1+1+1+1+1+1+1+1+1+1+1+1+1+1+1+1+1+1+1+1+1+1+1+1+1+1+1+1+1+1+1+1+1+0+0+0+0+0+1+1+1+1+1+1+1+1+1+1+1+1+1+1+1+1+1+1+1</f>
        <v>76</v>
      </c>
      <c r="D75" s="9">
        <f t="shared" ref="D75:D79" si="23">B75+C75</f>
        <v>86</v>
      </c>
      <c r="E75" s="55">
        <f t="shared" si="21"/>
        <v>0.12</v>
      </c>
      <c r="F75" s="55">
        <f t="shared" si="22"/>
        <v>0.88</v>
      </c>
    </row>
    <row r="76" spans="1:6" ht="30" x14ac:dyDescent="0.25">
      <c r="A76" s="4" t="s">
        <v>15</v>
      </c>
      <c r="B76" s="31">
        <f>1+1+1+1+1+1+1+1+1+1+1+1+1+1+1+1+1+1+1+1+1+1+1+1+1+1+1+1+1+1+1+1+1+1+1+1+1+1+1+1+1+1+1+1+1+1+1+1+1+1+1+1+1+1+1+1+1+1+1+1+1+1+1+1+1+1+1+1+1+1+1+1+1</f>
        <v>73</v>
      </c>
      <c r="C76" s="32">
        <f>1+1+1+1+1+1+1+1+1+1+1+1+1+1+1+1+1+1+1+1+1+1+1+1+0+0+0</f>
        <v>24</v>
      </c>
      <c r="D76" s="9">
        <f t="shared" si="23"/>
        <v>97</v>
      </c>
      <c r="E76" s="55">
        <f t="shared" si="21"/>
        <v>0.75</v>
      </c>
      <c r="F76" s="55">
        <f t="shared" si="22"/>
        <v>0.25</v>
      </c>
    </row>
    <row r="77" spans="1:6" ht="18.75" x14ac:dyDescent="0.25">
      <c r="A77" s="4" t="s">
        <v>16</v>
      </c>
      <c r="B77" s="31">
        <f>1+1+1+1+1+1+1+1+1+1+1+1+1+1+1+1+1+1+1+1+1+1+1+1+1+1+1+1+1+1+1+1+1+1+1+1+1+1+1+1+1</f>
        <v>41</v>
      </c>
      <c r="C77" s="32">
        <f>1+1+1+1+1+1+1+1+1+1+1+1+0+1+1+1+1+1+1+1+1+1+1+1+1+1+1+1+1+1+1+1+1+1+1+1+1+1+1+1+1+0+1+1+1+1+1+1+1+0+1+1+1+1+1+0+1+1+1</f>
        <v>55</v>
      </c>
      <c r="D77" s="9">
        <f>B77+C77</f>
        <v>96</v>
      </c>
      <c r="E77" s="55">
        <f t="shared" si="21"/>
        <v>0.43</v>
      </c>
      <c r="F77" s="55">
        <f t="shared" si="22"/>
        <v>0.56999999999999995</v>
      </c>
    </row>
    <row r="78" spans="1:6" ht="18.75" x14ac:dyDescent="0.25">
      <c r="A78" s="4" t="s">
        <v>17</v>
      </c>
      <c r="B78" s="33">
        <f>1+1+1+1+1+1+1+1+1+1+1+1+1+1+1+1+1+1+1+1+1+1+1+1+1+1+1+1+1+1+1+1+1+1+1+1+1+1+1+1+1+1+1+1+1+1+1+1+1+1+1+1+1</f>
        <v>53</v>
      </c>
      <c r="C78" s="34">
        <f>1+1+1+1+1+1+1+1+1+1+1+1+1+1+1+1+1+1+1+1+1+1+1+1+1+1+1+1+1+1+1+1+1+1+1+0+1+1+1+0+1+1+1+1+1+0+1+1+0+1+1</f>
        <v>47</v>
      </c>
      <c r="D78" s="9">
        <f>B78+C78</f>
        <v>100</v>
      </c>
      <c r="E78" s="55">
        <f t="shared" si="21"/>
        <v>0.53</v>
      </c>
      <c r="F78" s="55">
        <f t="shared" si="22"/>
        <v>0.47</v>
      </c>
    </row>
    <row r="79" spans="1:6" ht="18.75" x14ac:dyDescent="0.25">
      <c r="A79" s="7" t="s">
        <v>6</v>
      </c>
      <c r="B79" s="73">
        <f>SUM(B74:B78)</f>
        <v>241</v>
      </c>
      <c r="C79" s="73">
        <f>SUM(C74:C78)</f>
        <v>235</v>
      </c>
      <c r="D79" s="73">
        <f t="shared" si="23"/>
        <v>476</v>
      </c>
    </row>
    <row r="80" spans="1:6" ht="18.75" x14ac:dyDescent="0.25">
      <c r="A80" s="71" t="s">
        <v>25</v>
      </c>
      <c r="B80" s="72">
        <f>B79/D79</f>
        <v>0.51</v>
      </c>
      <c r="C80" s="74">
        <f>C79/D79</f>
        <v>0.49</v>
      </c>
      <c r="D80" s="75">
        <f>+B80+C80</f>
        <v>1</v>
      </c>
    </row>
  </sheetData>
  <mergeCells count="10">
    <mergeCell ref="A1:C1"/>
    <mergeCell ref="A6:C6"/>
    <mergeCell ref="A11:C11"/>
    <mergeCell ref="A72:C72"/>
    <mergeCell ref="A16:C16"/>
    <mergeCell ref="A24:C24"/>
    <mergeCell ref="A36:C36"/>
    <mergeCell ref="A45:C45"/>
    <mergeCell ref="A56:C56"/>
    <mergeCell ref="A62:C62"/>
  </mergeCells>
  <printOptions horizontalCentered="1"/>
  <pageMargins left="0.9055118110236221" right="0.70866141732283472" top="0.74803149606299213" bottom="0.74803149606299213" header="0.31496062992125984" footer="0.31496062992125984"/>
  <pageSetup scale="6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ENCUESTA</vt:lpstr>
      <vt:lpstr>% INDIVIDUAL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2020-08-02T03:49:20Z</dcterms:modified>
</cp:coreProperties>
</file>